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25" yWindow="45" windowWidth="9675" windowHeight="9390" tabRatio="827"/>
  </bookViews>
  <sheets>
    <sheet name="Свод обработка_10.2018" sheetId="8" r:id="rId1"/>
  </sheets>
  <externalReferences>
    <externalReference r:id="rId2"/>
  </externalReferences>
  <definedNames>
    <definedName name="_xlnm.Print_Titles" localSheetId="0">'Свод обработка_10.2018'!$A:$C,'Свод обработка_10.2018'!$3:$4</definedName>
    <definedName name="_xlnm.Print_Area" localSheetId="0">'Свод обработка_10.2018'!$A$1:$AA$84</definedName>
  </definedNames>
  <calcPr calcId="125725"/>
</workbook>
</file>

<file path=xl/calcChain.xml><?xml version="1.0" encoding="utf-8"?>
<calcChain xmlns="http://schemas.openxmlformats.org/spreadsheetml/2006/main">
  <c r="O70" i="8"/>
  <c r="F64"/>
  <c r="Y11"/>
  <c r="Z11"/>
  <c r="AA11"/>
  <c r="X11"/>
  <c r="V11"/>
  <c r="T11"/>
  <c r="S11"/>
  <c r="Q11"/>
  <c r="N11"/>
  <c r="O11"/>
  <c r="L11"/>
  <c r="M11"/>
  <c r="K11"/>
  <c r="I11"/>
  <c r="J11"/>
  <c r="H11"/>
  <c r="G11"/>
  <c r="E11"/>
  <c r="D11"/>
  <c r="J10" l="1"/>
  <c r="S10"/>
  <c r="T10"/>
  <c r="V10"/>
  <c r="X10"/>
  <c r="Y10"/>
  <c r="Z10"/>
  <c r="AA10"/>
  <c r="M10"/>
  <c r="M7" s="1"/>
  <c r="N10"/>
  <c r="O10"/>
  <c r="P10"/>
  <c r="Q10"/>
  <c r="H10"/>
  <c r="I10"/>
  <c r="K10"/>
  <c r="L10"/>
  <c r="E10"/>
  <c r="G10"/>
  <c r="T62"/>
  <c r="AA29" l="1"/>
  <c r="Z29"/>
  <c r="Y29"/>
  <c r="X29"/>
  <c r="W29"/>
  <c r="V29"/>
  <c r="U29"/>
  <c r="T29"/>
  <c r="S29"/>
  <c r="R29"/>
  <c r="Q29"/>
  <c r="O29"/>
  <c r="N29"/>
  <c r="M29"/>
  <c r="L29"/>
  <c r="K29"/>
  <c r="J29"/>
  <c r="I29"/>
  <c r="H29"/>
  <c r="G29"/>
  <c r="F29"/>
  <c r="E29"/>
  <c r="P7"/>
  <c r="Q7"/>
  <c r="AA61"/>
  <c r="AA58"/>
  <c r="S23" l="1"/>
  <c r="H9"/>
  <c r="Q76" l="1"/>
  <c r="F76"/>
  <c r="Q74"/>
  <c r="Q72"/>
  <c r="S69"/>
  <c r="Q69"/>
  <c r="Q68"/>
  <c r="F68"/>
  <c r="Q66"/>
  <c r="F66"/>
  <c r="AA63" l="1"/>
  <c r="Z63"/>
  <c r="W63"/>
  <c r="T63"/>
  <c r="S63"/>
  <c r="Q63"/>
  <c r="P63"/>
  <c r="F63"/>
  <c r="AA62"/>
  <c r="Z62"/>
  <c r="Y62"/>
  <c r="X62"/>
  <c r="W62"/>
  <c r="V62"/>
  <c r="U62"/>
  <c r="S62"/>
  <c r="R62"/>
  <c r="Q62"/>
  <c r="O62" l="1"/>
  <c r="N62"/>
  <c r="M62"/>
  <c r="L62"/>
  <c r="K62"/>
  <c r="J62"/>
  <c r="I62"/>
  <c r="H62"/>
  <c r="G62"/>
  <c r="E62"/>
  <c r="Q61"/>
  <c r="AA59"/>
  <c r="Z59"/>
  <c r="Y59"/>
  <c r="X59"/>
  <c r="W59"/>
  <c r="V59"/>
  <c r="S59"/>
  <c r="R59"/>
  <c r="Q59"/>
  <c r="O59"/>
  <c r="N59"/>
  <c r="M59"/>
  <c r="L59"/>
  <c r="K59"/>
  <c r="J59"/>
  <c r="I59"/>
  <c r="H59"/>
  <c r="G59"/>
  <c r="F59"/>
  <c r="E59"/>
  <c r="Q58"/>
  <c r="P56" l="1"/>
  <c r="D56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P11" l="1"/>
  <c r="P9"/>
  <c r="D9"/>
  <c r="D62"/>
  <c r="D59"/>
  <c r="P62"/>
  <c r="P59"/>
  <c r="Q48" l="1"/>
  <c r="P48"/>
  <c r="F48"/>
  <c r="Q46"/>
  <c r="P45"/>
  <c r="P44"/>
  <c r="Q40" l="1"/>
  <c r="E40"/>
  <c r="D40"/>
  <c r="Q36" l="1"/>
  <c r="E36"/>
  <c r="D36"/>
  <c r="G32"/>
  <c r="F32"/>
  <c r="E32"/>
  <c r="D32"/>
  <c r="Q31"/>
  <c r="P31"/>
  <c r="P30"/>
  <c r="P32" s="1"/>
  <c r="D29"/>
  <c r="Q28"/>
  <c r="P28"/>
  <c r="P27"/>
  <c r="P29" s="1"/>
  <c r="Q26"/>
  <c r="P26"/>
  <c r="G26"/>
  <c r="F26"/>
  <c r="E26"/>
  <c r="D26"/>
  <c r="Q23"/>
  <c r="G23"/>
  <c r="F23"/>
  <c r="E23"/>
  <c r="D23"/>
  <c r="Q22"/>
  <c r="P22"/>
  <c r="P21"/>
  <c r="Q20"/>
  <c r="P20"/>
  <c r="G20"/>
  <c r="P19"/>
  <c r="R17"/>
  <c r="Q17"/>
  <c r="P17"/>
  <c r="G17"/>
  <c r="F17"/>
  <c r="E17"/>
  <c r="D17"/>
  <c r="P16"/>
  <c r="Q14"/>
  <c r="P14"/>
  <c r="G14"/>
  <c r="F14"/>
  <c r="E14"/>
  <c r="P13"/>
  <c r="D12"/>
  <c r="D10" l="1"/>
  <c r="D14"/>
  <c r="P23"/>
  <c r="E9" l="1"/>
  <c r="Q9" l="1"/>
  <c r="Q8"/>
</calcChain>
</file>

<file path=xl/comments1.xml><?xml version="1.0" encoding="utf-8"?>
<comments xmlns="http://schemas.openxmlformats.org/spreadsheetml/2006/main">
  <authors>
    <author>Автор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ДПИ нет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ДПИ в КиСП</t>
        </r>
      </text>
    </comment>
    <comment ref="L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 учетом ДПИ, по ДПИ - конфиденциальная информация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ДПИ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Без ДПИ, отрасль не представлена</t>
        </r>
      </text>
    </comment>
    <comment ref="Z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ДПИ нет.</t>
        </r>
      </text>
    </comment>
    <comment ref="Y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сопоставимых ценах</t>
        </r>
      </text>
    </comment>
    <comment ref="O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КиСП</t>
        </r>
      </text>
    </comment>
    <comment ref="Q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КиСП</t>
        </r>
      </text>
    </comment>
    <comment ref="AA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КиСП</t>
        </r>
      </text>
    </comment>
    <comment ref="O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КиСП</t>
        </r>
      </text>
    </comment>
    <comment ref="Q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КиСП</t>
        </r>
      </text>
    </comment>
    <comment ref="AA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КиСП</t>
        </r>
      </text>
    </comment>
    <comment ref="M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уточнеено, предполагают, что к трудоспособному</t>
        </r>
      </text>
    </comment>
    <comment ref="Q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комментраий города % к численности населения в трудоспособном возрасте, в среднем за год</t>
        </r>
      </text>
    </comment>
    <comment ref="U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01.01.2018</t>
        </r>
      </text>
    </comment>
    <comment ref="D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конец года</t>
        </r>
      </text>
    </comment>
    <comment ref="Q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расчетно</t>
        </r>
      </text>
    </comment>
    <comment ref="U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01.01.2018</t>
        </r>
      </text>
    </comment>
    <comment ref="D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конец года</t>
        </r>
      </text>
    </comment>
    <comment ref="M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</t>
        </r>
      </text>
    </comment>
    <comment ref="U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01.01.2018</t>
        </r>
      </text>
    </comment>
    <comment ref="S6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11 мес.</t>
        </r>
      </text>
    </comment>
    <comment ref="T7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База данных Росстата</t>
        </r>
      </text>
    </comment>
  </commentList>
</comments>
</file>

<file path=xl/sharedStrings.xml><?xml version="1.0" encoding="utf-8"?>
<sst xmlns="http://schemas.openxmlformats.org/spreadsheetml/2006/main" count="354" uniqueCount="148">
  <si>
    <t>Наименование показателя</t>
  </si>
  <si>
    <t>Ед. изм.</t>
  </si>
  <si>
    <t>%</t>
  </si>
  <si>
    <t>в том числе</t>
  </si>
  <si>
    <t>млн.руб.</t>
  </si>
  <si>
    <t>Ввод в действие жилых домов</t>
  </si>
  <si>
    <t>тыс.кв.м.общей площади</t>
  </si>
  <si>
    <t>Оборот розничной торговли</t>
  </si>
  <si>
    <t>Оборот общественного питания</t>
  </si>
  <si>
    <t>человек</t>
  </si>
  <si>
    <t>Среднемесячная заработная плата одного работника (по крупным и средним организациям)</t>
  </si>
  <si>
    <t>рублей</t>
  </si>
  <si>
    <t>Уровень безработицы</t>
  </si>
  <si>
    <t>Число родившихся на 1 тыс. человек населения</t>
  </si>
  <si>
    <t>Число умерших на 1 тыс. человек населения</t>
  </si>
  <si>
    <t>на 1 жителя</t>
  </si>
  <si>
    <t>кв.м. общей площади</t>
  </si>
  <si>
    <t>Темп роста численности населения</t>
  </si>
  <si>
    <t>промышленное производство</t>
  </si>
  <si>
    <t>обрабатывающие производства</t>
  </si>
  <si>
    <t>% к прошлому году</t>
  </si>
  <si>
    <t>в том числе на душу населения</t>
  </si>
  <si>
    <t xml:space="preserve">Обеспечение электрической энергией, газом и паром; кондиционирование воздуха </t>
  </si>
  <si>
    <t>Водоснабжение;  водоотведение, организация сбора и утилизации отходов, деятельность по ликвидации загрязнений</t>
  </si>
  <si>
    <t>тыс. руб./чел.</t>
  </si>
  <si>
    <t xml:space="preserve">тыс.кв.м.общей площади </t>
  </si>
  <si>
    <t>человек на 1 вакантное место</t>
  </si>
  <si>
    <t>Общий прирост (+), убыль (-) за 2017 год</t>
  </si>
  <si>
    <t>Число родившихся на 01.01.2018</t>
  </si>
  <si>
    <t>Число умерших на 01.01.2018</t>
  </si>
  <si>
    <t>Число прибывших на 01.01.2018</t>
  </si>
  <si>
    <t>Число выбывших на 01.01.2018</t>
  </si>
  <si>
    <t>Естественный прирост (+), убыль (-) на 01.01.2018</t>
  </si>
  <si>
    <t>Миграционный прирост (+), убыль (-) на 01.01.2018</t>
  </si>
  <si>
    <t>Число браков</t>
  </si>
  <si>
    <t>единиц</t>
  </si>
  <si>
    <t>Число разводов</t>
  </si>
  <si>
    <t>№ п/п</t>
  </si>
  <si>
    <t>1.1.</t>
  </si>
  <si>
    <t>1.2.</t>
  </si>
  <si>
    <t>1.1.1.</t>
  </si>
  <si>
    <t>1.1.2.</t>
  </si>
  <si>
    <t>1.2.1.</t>
  </si>
  <si>
    <t>1.2.2.</t>
  </si>
  <si>
    <t>1.3.</t>
  </si>
  <si>
    <t>1.3.1.</t>
  </si>
  <si>
    <t>1.3.2.</t>
  </si>
  <si>
    <t>1.4.</t>
  </si>
  <si>
    <t>1.4.1.</t>
  </si>
  <si>
    <t>1.4.2.</t>
  </si>
  <si>
    <t>2.1.</t>
  </si>
  <si>
    <t>2.2.</t>
  </si>
  <si>
    <t>3.1.</t>
  </si>
  <si>
    <t>3.2.</t>
  </si>
  <si>
    <t>4.2.</t>
  </si>
  <si>
    <t>4.1.</t>
  </si>
  <si>
    <t>5.1.</t>
  </si>
  <si>
    <t>5.2.</t>
  </si>
  <si>
    <t>6.1.</t>
  </si>
  <si>
    <t>6.2.</t>
  </si>
  <si>
    <t>7.1.</t>
  </si>
  <si>
    <t>7.2.</t>
  </si>
  <si>
    <t>Среднесписочная численность работников (без внешних совместителей) по крупным и средним предприятиям</t>
  </si>
  <si>
    <t>8.1.</t>
  </si>
  <si>
    <t>9.1.</t>
  </si>
  <si>
    <t>% к рабочей силе</t>
  </si>
  <si>
    <t>11.1.</t>
  </si>
  <si>
    <t>Численность безработных, зарегистрированных в государственных учреждениях службы занятости населения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</si>
  <si>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</si>
  <si>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Численность населения</t>
  </si>
  <si>
    <t>14.1.</t>
  </si>
  <si>
    <t>14.2.</t>
  </si>
  <si>
    <t>на 01.01.2017</t>
  </si>
  <si>
    <t>на 01.01.2018</t>
  </si>
  <si>
    <t>14.3.</t>
  </si>
  <si>
    <t>14.4.</t>
  </si>
  <si>
    <t>Среднегодовая численность населения за 2017 год</t>
  </si>
  <si>
    <t>16.1.</t>
  </si>
  <si>
    <t>16.2.</t>
  </si>
  <si>
    <t>17.1.</t>
  </si>
  <si>
    <t>17.2.</t>
  </si>
  <si>
    <t>18.1.</t>
  </si>
  <si>
    <t>19.1.</t>
  </si>
  <si>
    <t>20.1.</t>
  </si>
  <si>
    <t>21.1.</t>
  </si>
  <si>
    <t>Миграционный прирост (убыль) на 1 тыс. человек населения (на 01.01.2018)</t>
  </si>
  <si>
    <t>22.1.</t>
  </si>
  <si>
    <t>23.1.</t>
  </si>
  <si>
    <t>24.1.</t>
  </si>
  <si>
    <t>Численность населения в трудоспособном возрасте на 01.01.2017 (женщины 16-54 года, мужчины 16-59 лет)</t>
  </si>
  <si>
    <t>в том числе на душу населения*</t>
  </si>
  <si>
    <t>* в целях унификации расчетов по показателям на душу населения, на 1 тыс. населения предлагаем использовать показатель "Среднегодовая численность населения"</t>
  </si>
  <si>
    <t>% к прошлому году в сопоставимых ценах</t>
  </si>
  <si>
    <t>к</t>
  </si>
  <si>
    <t>Великий Новгород</t>
  </si>
  <si>
    <t>36 660,0</t>
  </si>
  <si>
    <t>Великоустюгский муниципальный район</t>
  </si>
  <si>
    <t>Иваново</t>
  </si>
  <si>
    <t>нет данных</t>
  </si>
  <si>
    <t>нет данных**</t>
  </si>
  <si>
    <t>Котлас</t>
  </si>
  <si>
    <t>-</t>
  </si>
  <si>
    <t>х</t>
  </si>
  <si>
    <t>Петрозаводский городской округ</t>
  </si>
  <si>
    <t>н/д</t>
  </si>
  <si>
    <t>Индивидуальное жилищное строительство
(построено)</t>
  </si>
  <si>
    <t>…</t>
  </si>
  <si>
    <t>Северодвинск</t>
  </si>
  <si>
    <t>Старорусский муниципальный район</t>
  </si>
  <si>
    <t>Инвестиции в основной капитал 
(без субъектов малого предпринимательства и объема инвестиций, не наблюдаемых прямыми статистическими методами)</t>
  </si>
  <si>
    <t>+ 1 752</t>
  </si>
  <si>
    <t>Тихвинский муниципальный район</t>
  </si>
  <si>
    <t>_</t>
  </si>
  <si>
    <t>Череповец</t>
  </si>
  <si>
    <t>Архангельск</t>
  </si>
  <si>
    <t>Боровичский муниципальный район</t>
  </si>
  <si>
    <t>Владимир</t>
  </si>
  <si>
    <t>Вологда</t>
  </si>
  <si>
    <t>Коряжма</t>
  </si>
  <si>
    <t>Кострома</t>
  </si>
  <si>
    <t>Смоленск</t>
  </si>
  <si>
    <t>Сыктывкар</t>
  </si>
  <si>
    <t>Тверь</t>
  </si>
  <si>
    <t>Ярославль</t>
  </si>
  <si>
    <t>Нарьян-Мар</t>
  </si>
  <si>
    <t>Новодвинск</t>
  </si>
  <si>
    <t>Псков</t>
  </si>
  <si>
    <t>Рыбинск</t>
  </si>
  <si>
    <r>
      <t xml:space="preserve">Объем работ, выполненных по виду деятельности «Строительство» </t>
    </r>
    <r>
      <rPr>
        <sz val="12"/>
        <rFont val="Times New Roman"/>
        <family val="1"/>
        <charset val="204"/>
      </rPr>
      <t xml:space="preserve">
по организациям 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  <r>
      <rPr>
        <b/>
        <sz val="12"/>
        <rFont val="Times New Roman"/>
        <family val="1"/>
        <charset val="204"/>
      </rPr>
      <t xml:space="preserve">
</t>
    </r>
  </si>
  <si>
    <t xml:space="preserve">
млн.руб. </t>
  </si>
  <si>
    <t>Крупные и средние предприятия</t>
  </si>
  <si>
    <t>Основные показатели социально-экономического развития  в 2017 году</t>
  </si>
  <si>
    <t>…**</t>
  </si>
  <si>
    <t xml:space="preserve">Потребность работодателей в работниках, заявленная  в государственных учреждениях службы занятости населения </t>
  </si>
  <si>
    <t>113,5
тыс. чел.</t>
  </si>
  <si>
    <t>ПРОМЫШЛЕННОЕ пр-во без ДПИ (1.2.+1.3.+1.4.)</t>
  </si>
  <si>
    <t>ДОП:</t>
  </si>
  <si>
    <t>Естественный прирост (убыль) на 1 тыс. человек населения (на 01.01.2018), расчетно</t>
  </si>
  <si>
    <t>169
расчетно</t>
  </si>
  <si>
    <t>Объем отгруженной промышленной продукции 
(в действующих ценах, без НДС и акцизов; 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</si>
  <si>
    <t>% к трудосопособн.</t>
  </si>
  <si>
    <t>**, К -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</si>
  <si>
    <t>‰ - промилле</t>
  </si>
  <si>
    <t>**</t>
  </si>
  <si>
    <t>Калининград</t>
  </si>
  <si>
    <t>УТОЧНЕННЫЕ ДАННЫЕ, В ТОМ ЧИСЛЕ ИЗ БД ПМО  РОССТАТА</t>
  </si>
  <si>
    <t>тыс.руб/чел.</t>
  </si>
  <si>
    <t>н.д.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</si>
</sst>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\ &quot;₽&quot;"/>
  </numFmts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6" fontId="2" fillId="0" borderId="0" xfId="0" applyNumberFormat="1" applyFont="1" applyFill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0" xfId="0" applyFont="1" applyFill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3" fontId="1" fillId="4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vertical="top" wrapText="1"/>
    </xf>
    <xf numFmtId="3" fontId="2" fillId="4" borderId="1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166" fontId="1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DEEFF6"/>
      <color rgb="FFE1F0F7"/>
      <color rgb="FFD9ECF5"/>
      <color rgb="FFC89800"/>
      <color rgb="FFFFFFCC"/>
      <color rgb="FF3333FF"/>
      <color rgb="FF9900FF"/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ekonomika\&#1055;&#1056;&#1054;&#1043;&#1053;&#1054;&#1047;%20&#1057;&#1054;&#1062;.-&#1069;&#1050;&#1054;&#1053;.%20&#1056;&#1040;&#1047;&#1042;&#1048;&#1058;&#1048;&#1071;\&#1089;&#1086;&#1094;.&#1087;&#1088;&#1086;&#1075;&#1085;&#1086;&#1079;%202019\&#1055;&#1088;&#1077;&#1076;&#1074;&#1072;&#1088;&#1080;&#1090;&#1077;&#1083;&#1100;&#1085;&#1099;&#1081;%20&#1087;&#1088;&#1086;&#1075;&#1085;&#1086;&#1079;%20&#1085;&#1072;%202019-2021%20&#1075;&#1086;&#1076;%20&#1087;&#1086;%20&#1080;&#1090;&#1086;&#1075;&#1072;&#1084;%202017%20&#1075;&#1086;&#1076;&#1072;\&#1055;&#1088;&#1077;&#1076;&#1074;&#1072;&#1088;&#1080;&#1090;&#1077;&#1083;&#1100;&#1085;&#1099;&#1081;%20&#1087;&#1088;&#1086;&#1075;&#1085;&#1086;&#1079;%20&#1057;&#1069;&#1056;%20&#1085;&#1072;%202019%20&#1075;&#1086;&#1076;%20&#1087;&#1086;%20&#1080;&#1090;&#1086;&#1075;&#1072;&#1084;%202017%20&#1075;&#1086;&#1076;&#1072;%20-%20&#1076;&#1086;%2015.04.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на 2017-2019 за 2015"/>
      <sheetName val="прогноз на 2018-2020 - за 2016"/>
      <sheetName val="прогноз на 2018-2020 - за  9мес"/>
      <sheetName val="прогноз на 2019-2021 - за 2017"/>
    </sheetNames>
    <sheetDataSet>
      <sheetData sheetId="0"/>
      <sheetData sheetId="1"/>
      <sheetData sheetId="2"/>
      <sheetData sheetId="3">
        <row r="10">
          <cell r="AF10">
            <v>24.715</v>
          </cell>
        </row>
        <row r="22">
          <cell r="AB22">
            <v>71121.8</v>
          </cell>
          <cell r="AF22">
            <v>70421.899999999994</v>
          </cell>
        </row>
        <row r="23">
          <cell r="AF23">
            <v>2.5999999999999999E-2</v>
          </cell>
        </row>
        <row r="50">
          <cell r="AB50">
            <v>6438</v>
          </cell>
          <cell r="AF50">
            <v>3773.4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6"/>
  <sheetViews>
    <sheetView tabSelected="1" view="pageBreakPreview" zoomScale="60" zoomScaleNormal="55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M18" sqref="M18"/>
    </sheetView>
  </sheetViews>
  <sheetFormatPr defaultRowHeight="15.75"/>
  <cols>
    <col min="1" max="1" width="6.7109375" style="15" customWidth="1"/>
    <col min="2" max="2" width="60.5703125" style="5" customWidth="1"/>
    <col min="3" max="3" width="20.28515625" style="15" customWidth="1"/>
    <col min="4" max="4" width="14" style="15" customWidth="1"/>
    <col min="5" max="5" width="16" style="15" customWidth="1"/>
    <col min="6" max="6" width="17.85546875" style="15" customWidth="1"/>
    <col min="7" max="7" width="15" style="15" customWidth="1"/>
    <col min="8" max="8" width="21.7109375" style="15" customWidth="1"/>
    <col min="9" max="9" width="14.28515625" style="15" customWidth="1"/>
    <col min="10" max="10" width="12.7109375" style="15" customWidth="1"/>
    <col min="11" max="11" width="13.140625" style="15" customWidth="1"/>
    <col min="12" max="12" width="16.5703125" style="15" customWidth="1"/>
    <col min="13" max="13" width="14.28515625" style="15" customWidth="1"/>
    <col min="14" max="14" width="12.7109375" style="15" customWidth="1"/>
    <col min="15" max="15" width="12.42578125" style="15" customWidth="1"/>
    <col min="16" max="16" width="16.5703125" style="15" customWidth="1"/>
    <col min="17" max="17" width="15" style="15" customWidth="1"/>
    <col min="18" max="18" width="19.7109375" style="15" customWidth="1"/>
    <col min="19" max="19" width="14.42578125" style="15" customWidth="1"/>
    <col min="20" max="20" width="13.5703125" style="15" customWidth="1"/>
    <col min="21" max="21" width="17" style="15" customWidth="1"/>
    <col min="22" max="22" width="14" style="15" customWidth="1"/>
    <col min="23" max="23" width="14.7109375" style="15" customWidth="1"/>
    <col min="24" max="24" width="11.85546875" style="15" customWidth="1"/>
    <col min="25" max="25" width="13" style="15" customWidth="1"/>
    <col min="26" max="26" width="16.28515625" style="15" customWidth="1"/>
    <col min="27" max="27" width="13.85546875" style="15" customWidth="1"/>
    <col min="28" max="28" width="15.28515625" style="5" bestFit="1" customWidth="1"/>
    <col min="29" max="16384" width="9.140625" style="5"/>
  </cols>
  <sheetData>
    <row r="1" spans="1:28" ht="21.75" customHeight="1">
      <c r="A1" s="46" t="s">
        <v>131</v>
      </c>
      <c r="B1" s="14"/>
      <c r="C1" s="14"/>
      <c r="D1" s="14"/>
      <c r="E1" s="14"/>
      <c r="G1" s="14"/>
      <c r="H1" s="14"/>
      <c r="I1" s="14"/>
      <c r="J1" s="14"/>
      <c r="K1" s="14"/>
      <c r="L1" s="14"/>
    </row>
    <row r="2" spans="1:28" ht="20.25" customHeight="1">
      <c r="A2" s="16"/>
      <c r="B2" s="45" t="s">
        <v>145</v>
      </c>
      <c r="C2" s="43"/>
      <c r="D2" s="16"/>
    </row>
    <row r="3" spans="1:28" ht="18.75" customHeight="1">
      <c r="A3" s="54" t="s">
        <v>37</v>
      </c>
      <c r="B3" s="54" t="s">
        <v>0</v>
      </c>
      <c r="C3" s="52" t="s">
        <v>1</v>
      </c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</row>
    <row r="4" spans="1:28" s="1" customFormat="1" ht="51.75" customHeight="1">
      <c r="A4" s="54"/>
      <c r="B4" s="54"/>
      <c r="C4" s="53"/>
      <c r="D4" s="11" t="s">
        <v>113</v>
      </c>
      <c r="E4" s="11" t="s">
        <v>114</v>
      </c>
      <c r="F4" s="11" t="s">
        <v>115</v>
      </c>
      <c r="G4" s="11" t="s">
        <v>94</v>
      </c>
      <c r="H4" s="11" t="s">
        <v>96</v>
      </c>
      <c r="I4" s="11" t="s">
        <v>116</v>
      </c>
      <c r="J4" s="11" t="s">
        <v>117</v>
      </c>
      <c r="K4" s="11" t="s">
        <v>97</v>
      </c>
      <c r="L4" s="39" t="s">
        <v>144</v>
      </c>
      <c r="M4" s="11" t="s">
        <v>118</v>
      </c>
      <c r="N4" s="11" t="s">
        <v>119</v>
      </c>
      <c r="O4" s="11" t="s">
        <v>100</v>
      </c>
      <c r="P4" s="11" t="s">
        <v>124</v>
      </c>
      <c r="Q4" s="11" t="s">
        <v>125</v>
      </c>
      <c r="R4" s="11" t="s">
        <v>103</v>
      </c>
      <c r="S4" s="11" t="s">
        <v>126</v>
      </c>
      <c r="T4" s="11" t="s">
        <v>127</v>
      </c>
      <c r="U4" s="11" t="s">
        <v>107</v>
      </c>
      <c r="V4" s="11" t="s">
        <v>120</v>
      </c>
      <c r="W4" s="11" t="s">
        <v>108</v>
      </c>
      <c r="X4" s="11" t="s">
        <v>121</v>
      </c>
      <c r="Y4" s="11" t="s">
        <v>122</v>
      </c>
      <c r="Z4" s="11" t="s">
        <v>111</v>
      </c>
      <c r="AA4" s="13" t="s">
        <v>123</v>
      </c>
    </row>
    <row r="5" spans="1:28" ht="77.25" customHeight="1">
      <c r="A5" s="25">
        <v>1</v>
      </c>
      <c r="B5" s="26" t="s">
        <v>139</v>
      </c>
      <c r="C5" s="27" t="s">
        <v>4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  <c r="S5" s="28"/>
      <c r="T5" s="28"/>
      <c r="U5" s="28"/>
      <c r="V5" s="28"/>
      <c r="W5" s="28"/>
      <c r="X5" s="28"/>
      <c r="Y5" s="28"/>
      <c r="Z5" s="28"/>
      <c r="AA5" s="28"/>
    </row>
    <row r="6" spans="1:28" ht="15.75" customHeight="1">
      <c r="A6" s="4"/>
      <c r="B6" s="3" t="s">
        <v>3</v>
      </c>
      <c r="C6" s="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8" s="1" customFormat="1" ht="24" customHeight="1">
      <c r="A7" s="12" t="s">
        <v>38</v>
      </c>
      <c r="B7" s="2" t="s">
        <v>18</v>
      </c>
      <c r="C7" s="12" t="s">
        <v>4</v>
      </c>
      <c r="D7" s="7">
        <v>464255.06599999999</v>
      </c>
      <c r="E7" s="7">
        <v>33595.699999999997</v>
      </c>
      <c r="F7" s="7" t="s">
        <v>106</v>
      </c>
      <c r="G7" s="7" t="s">
        <v>106</v>
      </c>
      <c r="H7" s="7">
        <v>7629.4</v>
      </c>
      <c r="I7" s="7">
        <v>101093</v>
      </c>
      <c r="J7" s="7">
        <v>65688.600000000006</v>
      </c>
      <c r="K7" s="7">
        <v>52061.7</v>
      </c>
      <c r="L7" s="40" t="s">
        <v>106</v>
      </c>
      <c r="M7" s="7">
        <f>M10</f>
        <v>48328.6</v>
      </c>
      <c r="N7" s="7">
        <v>45730.1</v>
      </c>
      <c r="O7" s="7" t="s">
        <v>106</v>
      </c>
      <c r="P7" s="7">
        <f>P12+P15+P18</f>
        <v>21242.837</v>
      </c>
      <c r="Q7" s="7">
        <f>Q12+Q15+Q18</f>
        <v>31063.1</v>
      </c>
      <c r="R7" s="7" t="s">
        <v>106</v>
      </c>
      <c r="S7" s="7" t="s">
        <v>104</v>
      </c>
      <c r="T7" s="7">
        <v>77359.600000000006</v>
      </c>
      <c r="U7" s="7" t="s">
        <v>106</v>
      </c>
      <c r="V7" s="7" t="s">
        <v>106</v>
      </c>
      <c r="W7" s="7" t="s">
        <v>147</v>
      </c>
      <c r="X7" s="7" t="s">
        <v>101</v>
      </c>
      <c r="Y7" s="7">
        <v>106410.8</v>
      </c>
      <c r="Z7" s="7">
        <v>69910</v>
      </c>
      <c r="AA7" s="7">
        <v>201954.9</v>
      </c>
    </row>
    <row r="8" spans="1:28" ht="15.75" customHeight="1">
      <c r="A8" s="4" t="s">
        <v>40</v>
      </c>
      <c r="B8" s="3" t="s">
        <v>20</v>
      </c>
      <c r="C8" s="4" t="s">
        <v>2</v>
      </c>
      <c r="D8" s="6">
        <v>112.2</v>
      </c>
      <c r="E8" s="6">
        <v>108</v>
      </c>
      <c r="F8" s="7" t="s">
        <v>106</v>
      </c>
      <c r="G8" s="7" t="s">
        <v>106</v>
      </c>
      <c r="H8" s="6">
        <v>108.8</v>
      </c>
      <c r="I8" s="6">
        <v>107</v>
      </c>
      <c r="J8" s="6">
        <v>105.5</v>
      </c>
      <c r="K8" s="6">
        <v>105.9</v>
      </c>
      <c r="L8" s="6">
        <v>113</v>
      </c>
      <c r="M8" s="6">
        <v>98.6</v>
      </c>
      <c r="N8" s="6">
        <v>102.4</v>
      </c>
      <c r="O8" s="7" t="s">
        <v>106</v>
      </c>
      <c r="P8" s="6">
        <v>98.81</v>
      </c>
      <c r="Q8" s="6">
        <f>ROUND(Q7/(28274.594+1279.057)*100,1)</f>
        <v>105.1</v>
      </c>
      <c r="R8" s="6">
        <v>101.6</v>
      </c>
      <c r="S8" s="6" t="s">
        <v>104</v>
      </c>
      <c r="T8" s="6">
        <v>108.2</v>
      </c>
      <c r="U8" s="6" t="s">
        <v>106</v>
      </c>
      <c r="V8" s="6">
        <v>91.2</v>
      </c>
      <c r="W8" s="7" t="s">
        <v>147</v>
      </c>
      <c r="X8" s="6" t="s">
        <v>101</v>
      </c>
      <c r="Y8" s="6">
        <v>120.7</v>
      </c>
      <c r="Z8" s="6">
        <v>138.19999999999999</v>
      </c>
      <c r="AA8" s="6">
        <v>109.2</v>
      </c>
    </row>
    <row r="9" spans="1:28" ht="15.75" customHeight="1">
      <c r="A9" s="4" t="s">
        <v>41</v>
      </c>
      <c r="B9" s="3" t="s">
        <v>90</v>
      </c>
      <c r="C9" s="4" t="s">
        <v>24</v>
      </c>
      <c r="D9" s="6">
        <f>D7*1000/D56</f>
        <v>1458.0279888069897</v>
      </c>
      <c r="E9" s="6">
        <f>E7*1000/E56</f>
        <v>93.913566097335973</v>
      </c>
      <c r="F9" s="7" t="s">
        <v>106</v>
      </c>
      <c r="G9" s="7" t="s">
        <v>106</v>
      </c>
      <c r="H9" s="6">
        <f>H7*1000/H56</f>
        <v>140.15614953614403</v>
      </c>
      <c r="I9" s="6">
        <v>281.5</v>
      </c>
      <c r="J9" s="6">
        <v>205.1</v>
      </c>
      <c r="K9" s="6">
        <v>128.1</v>
      </c>
      <c r="L9" s="6">
        <v>554.70000000000005</v>
      </c>
      <c r="M9" s="6">
        <v>1309.0999999999999</v>
      </c>
      <c r="N9" s="6">
        <v>164.8</v>
      </c>
      <c r="O9" s="7" t="s">
        <v>106</v>
      </c>
      <c r="P9" s="42">
        <f>P7/P56*1000</f>
        <v>859.51191584058267</v>
      </c>
      <c r="Q9" s="6">
        <f>ROUND(Q7/Q56*1000,1)</f>
        <v>805.1</v>
      </c>
      <c r="R9" s="6" t="s">
        <v>106</v>
      </c>
      <c r="S9" s="6" t="s">
        <v>104</v>
      </c>
      <c r="T9" s="6">
        <v>408.1</v>
      </c>
      <c r="U9" s="6" t="s">
        <v>106</v>
      </c>
      <c r="V9" s="6">
        <v>181.5</v>
      </c>
      <c r="W9" s="7" t="s">
        <v>147</v>
      </c>
      <c r="X9" s="6" t="s">
        <v>101</v>
      </c>
      <c r="Y9" s="6">
        <v>253.5</v>
      </c>
      <c r="Z9" s="6">
        <v>1001</v>
      </c>
      <c r="AA9" s="6">
        <v>331.94373447775399</v>
      </c>
      <c r="AB9" s="24"/>
    </row>
    <row r="10" spans="1:28" s="1" customFormat="1" ht="15.75" customHeight="1">
      <c r="A10" s="47" t="s">
        <v>136</v>
      </c>
      <c r="B10" s="48" t="s">
        <v>135</v>
      </c>
      <c r="C10" s="47" t="s">
        <v>4</v>
      </c>
      <c r="D10" s="40">
        <f>D12+D15+D18</f>
        <v>464214.37200000003</v>
      </c>
      <c r="E10" s="40">
        <f>E12+E15+E18</f>
        <v>33355.799999999996</v>
      </c>
      <c r="F10" s="40" t="s">
        <v>106</v>
      </c>
      <c r="G10" s="40">
        <f>G12+G15+G18</f>
        <v>114090.09999999999</v>
      </c>
      <c r="H10" s="40">
        <f>H12+H15+H18</f>
        <v>7629.4</v>
      </c>
      <c r="I10" s="40">
        <f>I12+I15+I18</f>
        <v>101093</v>
      </c>
      <c r="J10" s="40">
        <f>J7</f>
        <v>65688.600000000006</v>
      </c>
      <c r="K10" s="40">
        <f>K12+K15+K18</f>
        <v>52061.7</v>
      </c>
      <c r="L10" s="40">
        <f>L12+L15+L18</f>
        <v>263392.5</v>
      </c>
      <c r="M10" s="40">
        <f t="shared" ref="M10" si="0">M12+M15+M18</f>
        <v>48328.6</v>
      </c>
      <c r="N10" s="40">
        <f t="shared" ref="N10" si="1">N12+N15+N18</f>
        <v>45642.400000000001</v>
      </c>
      <c r="O10" s="40">
        <f t="shared" ref="O10" si="2">O12+O15+O18</f>
        <v>3960.1619999999998</v>
      </c>
      <c r="P10" s="40">
        <f t="shared" ref="P10" si="3">P12+P15+P18</f>
        <v>21242.837</v>
      </c>
      <c r="Q10" s="40">
        <f t="shared" ref="Q10" si="4">Q12+Q15+Q18</f>
        <v>31063.1</v>
      </c>
      <c r="R10" s="40" t="s">
        <v>106</v>
      </c>
      <c r="S10" s="40">
        <f t="shared" ref="S10" si="5">S12+S15+S18</f>
        <v>24960.064000000002</v>
      </c>
      <c r="T10" s="40">
        <f t="shared" ref="T10" si="6">T12+T15+T18</f>
        <v>77340.199999999983</v>
      </c>
      <c r="U10" s="40" t="s">
        <v>106</v>
      </c>
      <c r="V10" s="40">
        <f t="shared" ref="V10" si="7">V12+V15+V18</f>
        <v>59875.199999999997</v>
      </c>
      <c r="W10" s="40" t="s">
        <v>147</v>
      </c>
      <c r="X10" s="40">
        <f t="shared" ref="X10" si="8">X12+X15+X18</f>
        <v>92792.7</v>
      </c>
      <c r="Y10" s="40">
        <f t="shared" ref="Y10" si="9">Y12+Y15+Y18</f>
        <v>106304.4</v>
      </c>
      <c r="Z10" s="40">
        <f t="shared" ref="Z10" si="10">Z12+Z15+Z18</f>
        <v>69909.388000000006</v>
      </c>
      <c r="AA10" s="40">
        <f t="shared" ref="AA10" si="11">AA12+AA15+AA18</f>
        <v>201896.5</v>
      </c>
      <c r="AB10" s="50"/>
    </row>
    <row r="11" spans="1:28" s="1" customFormat="1" ht="15.75" customHeight="1">
      <c r="A11" s="47" t="s">
        <v>136</v>
      </c>
      <c r="B11" s="49" t="s">
        <v>90</v>
      </c>
      <c r="C11" s="47" t="s">
        <v>146</v>
      </c>
      <c r="D11" s="40">
        <f>D10/D56*1000</f>
        <v>1457.9001862361147</v>
      </c>
      <c r="E11" s="40">
        <f>E10/E56*1000</f>
        <v>93.242948592513898</v>
      </c>
      <c r="F11" s="40"/>
      <c r="G11" s="40">
        <f>G10/G56*1000</f>
        <v>512.23269324880687</v>
      </c>
      <c r="H11" s="40">
        <f>H10/H56*1000</f>
        <v>140.15614953614403</v>
      </c>
      <c r="I11" s="40">
        <f t="shared" ref="I11:K11" si="12">I10/I56*1000</f>
        <v>281.50357264186141</v>
      </c>
      <c r="J11" s="40">
        <f t="shared" si="12"/>
        <v>205.12239219837562</v>
      </c>
      <c r="K11" s="40">
        <f t="shared" si="12"/>
        <v>128.06581669425836</v>
      </c>
      <c r="L11" s="40">
        <f t="shared" ref="L11" si="13">L10/L56*1000</f>
        <v>559.01441720981472</v>
      </c>
      <c r="M11" s="40">
        <f t="shared" ref="M11" si="14">M10/M56*1000</f>
        <v>1309.1150418506379</v>
      </c>
      <c r="N11" s="40">
        <f t="shared" ref="N11" si="15">N10/N56*1000</f>
        <v>164.49845745754405</v>
      </c>
      <c r="O11" s="40">
        <f t="shared" ref="O11:X11" si="16">O10/O56*1000</f>
        <v>53.133001489273205</v>
      </c>
      <c r="P11" s="40">
        <f t="shared" si="16"/>
        <v>859.51191584058267</v>
      </c>
      <c r="Q11" s="40">
        <f t="shared" si="16"/>
        <v>805.05636905533242</v>
      </c>
      <c r="R11" s="40"/>
      <c r="S11" s="40">
        <f t="shared" si="16"/>
        <v>118.76074244305829</v>
      </c>
      <c r="T11" s="40">
        <f t="shared" si="16"/>
        <v>408.01358986668629</v>
      </c>
      <c r="U11" s="40"/>
      <c r="V11" s="40">
        <f t="shared" si="16"/>
        <v>181.47354510985363</v>
      </c>
      <c r="W11" s="40" t="s">
        <v>147</v>
      </c>
      <c r="X11" s="40">
        <f t="shared" si="16"/>
        <v>356.0254762407198</v>
      </c>
      <c r="Y11" s="40">
        <f t="shared" ref="Y11" si="17">Y10/Y56*1000</f>
        <v>253.27818466860762</v>
      </c>
      <c r="Z11" s="40">
        <f t="shared" ref="Z11" si="18">Z10/Z56*1000</f>
        <v>1000.8215655958312</v>
      </c>
      <c r="AA11" s="40">
        <f t="shared" ref="AA11" si="19">AA10/AA56*1000</f>
        <v>331.84774515492251</v>
      </c>
      <c r="AB11" s="50"/>
    </row>
    <row r="12" spans="1:28" s="1" customFormat="1" ht="18.75" customHeight="1">
      <c r="A12" s="12" t="s">
        <v>39</v>
      </c>
      <c r="B12" s="2" t="s">
        <v>19</v>
      </c>
      <c r="C12" s="12" t="s">
        <v>4</v>
      </c>
      <c r="D12" s="7">
        <f>454660.925</f>
        <v>454660.92499999999</v>
      </c>
      <c r="E12" s="7">
        <v>17407.099999999999</v>
      </c>
      <c r="F12" s="7">
        <v>15765.248</v>
      </c>
      <c r="G12" s="7">
        <v>95201.5</v>
      </c>
      <c r="H12" s="7">
        <v>6185</v>
      </c>
      <c r="I12" s="7">
        <v>70333.2</v>
      </c>
      <c r="J12" s="7">
        <v>46454.400000000001</v>
      </c>
      <c r="K12" s="7">
        <v>32220.1</v>
      </c>
      <c r="L12" s="7">
        <v>237598.9</v>
      </c>
      <c r="M12" s="7">
        <v>47229.5</v>
      </c>
      <c r="N12" s="7">
        <v>34223.1</v>
      </c>
      <c r="O12" s="7">
        <v>2627.9</v>
      </c>
      <c r="P12" s="7">
        <v>20265.643</v>
      </c>
      <c r="Q12" s="7">
        <v>29925.288</v>
      </c>
      <c r="R12" s="7">
        <v>13967.4</v>
      </c>
      <c r="S12" s="7">
        <v>17425.2</v>
      </c>
      <c r="T12" s="7">
        <v>65720.899999999994</v>
      </c>
      <c r="U12" s="7" t="s">
        <v>106</v>
      </c>
      <c r="V12" s="7">
        <v>45247</v>
      </c>
      <c r="W12" s="7">
        <v>8295.7999999999993</v>
      </c>
      <c r="X12" s="7">
        <v>79998.7</v>
      </c>
      <c r="Y12" s="7">
        <v>84578</v>
      </c>
      <c r="Z12" s="7">
        <v>68845</v>
      </c>
      <c r="AA12" s="7">
        <v>172940.5</v>
      </c>
    </row>
    <row r="13" spans="1:28" ht="18.75" customHeight="1">
      <c r="A13" s="4" t="s">
        <v>42</v>
      </c>
      <c r="B13" s="3" t="s">
        <v>20</v>
      </c>
      <c r="C13" s="4" t="s">
        <v>2</v>
      </c>
      <c r="D13" s="6">
        <v>112.3</v>
      </c>
      <c r="E13" s="6">
        <v>102.4</v>
      </c>
      <c r="F13" s="6">
        <v>103.6</v>
      </c>
      <c r="G13" s="6">
        <v>98.9</v>
      </c>
      <c r="H13" s="6">
        <v>111.2</v>
      </c>
      <c r="I13" s="6">
        <v>102.2</v>
      </c>
      <c r="J13" s="6">
        <v>105</v>
      </c>
      <c r="K13" s="6">
        <v>106.9</v>
      </c>
      <c r="L13" s="6">
        <v>113.6</v>
      </c>
      <c r="M13" s="6">
        <v>99.6</v>
      </c>
      <c r="N13" s="6">
        <v>100.7</v>
      </c>
      <c r="O13" s="6">
        <v>116.4</v>
      </c>
      <c r="P13" s="6">
        <f>P12/19966.188*100</f>
        <v>101.49981057976616</v>
      </c>
      <c r="Q13" s="6">
        <v>105.8</v>
      </c>
      <c r="R13" s="6">
        <v>46</v>
      </c>
      <c r="S13" s="6">
        <v>89.2</v>
      </c>
      <c r="T13" s="6">
        <v>100.6</v>
      </c>
      <c r="U13" s="6" t="s">
        <v>106</v>
      </c>
      <c r="V13" s="6">
        <v>87.7</v>
      </c>
      <c r="W13" s="6">
        <v>100.4</v>
      </c>
      <c r="X13" s="6">
        <v>101.4</v>
      </c>
      <c r="Y13" s="6">
        <v>125.7</v>
      </c>
      <c r="Z13" s="6">
        <v>138.19999999999999</v>
      </c>
      <c r="AA13" s="6">
        <v>108.4</v>
      </c>
    </row>
    <row r="14" spans="1:28" ht="20.25" customHeight="1">
      <c r="A14" s="4" t="s">
        <v>43</v>
      </c>
      <c r="B14" s="3" t="s">
        <v>21</v>
      </c>
      <c r="C14" s="4" t="s">
        <v>24</v>
      </c>
      <c r="D14" s="6">
        <f>D12*1000/D56</f>
        <v>1427.8968666480325</v>
      </c>
      <c r="E14" s="6">
        <f>E12*1000/E56</f>
        <v>48.659883152097954</v>
      </c>
      <c r="F14" s="6">
        <f>F12*1000/64589</f>
        <v>244.08564925916178</v>
      </c>
      <c r="G14" s="6">
        <f>G12/G56*1000</f>
        <v>427.42815324314984</v>
      </c>
      <c r="H14" s="6">
        <v>113.6</v>
      </c>
      <c r="I14" s="6">
        <v>195.9</v>
      </c>
      <c r="J14" s="6">
        <v>145.1</v>
      </c>
      <c r="K14" s="6">
        <v>79.3</v>
      </c>
      <c r="L14" s="6">
        <v>504.3</v>
      </c>
      <c r="M14" s="6">
        <v>1279.3</v>
      </c>
      <c r="N14" s="6">
        <v>123.3</v>
      </c>
      <c r="O14" s="6">
        <v>35.26</v>
      </c>
      <c r="P14" s="6">
        <f>P12*1000/P56</f>
        <v>819.97341695326725</v>
      </c>
      <c r="Q14" s="6">
        <f>ROUND(Q12/Q56*1000,1)</f>
        <v>775.6</v>
      </c>
      <c r="R14" s="6">
        <v>50.082999999999998</v>
      </c>
      <c r="S14" s="6">
        <v>82.9</v>
      </c>
      <c r="T14" s="6">
        <v>346.7</v>
      </c>
      <c r="U14" s="6" t="s">
        <v>106</v>
      </c>
      <c r="V14" s="6">
        <v>137.1</v>
      </c>
      <c r="W14" s="6">
        <v>192.4</v>
      </c>
      <c r="X14" s="6">
        <v>306.7</v>
      </c>
      <c r="Y14" s="6">
        <v>201.5</v>
      </c>
      <c r="Z14" s="6">
        <v>986</v>
      </c>
      <c r="AA14" s="6">
        <v>284.3</v>
      </c>
    </row>
    <row r="15" spans="1:28" s="1" customFormat="1" ht="34.5" customHeight="1">
      <c r="A15" s="12" t="s">
        <v>44</v>
      </c>
      <c r="B15" s="2" t="s">
        <v>22</v>
      </c>
      <c r="C15" s="12" t="s">
        <v>4</v>
      </c>
      <c r="D15" s="7">
        <v>7224.4709999999995</v>
      </c>
      <c r="E15" s="7">
        <v>13985</v>
      </c>
      <c r="F15" s="7">
        <v>681.51300000000003</v>
      </c>
      <c r="G15" s="7">
        <v>17592.7</v>
      </c>
      <c r="H15" s="7">
        <v>1349</v>
      </c>
      <c r="I15" s="7">
        <v>27780.3</v>
      </c>
      <c r="J15" s="7">
        <v>18159.400000000001</v>
      </c>
      <c r="K15" s="7">
        <v>18248.900000000001</v>
      </c>
      <c r="L15" s="7">
        <v>23739.9</v>
      </c>
      <c r="M15" s="7">
        <v>943</v>
      </c>
      <c r="N15" s="7">
        <v>10029</v>
      </c>
      <c r="O15" s="7">
        <v>1064.3</v>
      </c>
      <c r="P15" s="7">
        <v>755.76599999999996</v>
      </c>
      <c r="Q15" s="7">
        <v>965.28300000000002</v>
      </c>
      <c r="R15" s="7">
        <v>15030.1</v>
      </c>
      <c r="S15" s="7">
        <v>6540.6</v>
      </c>
      <c r="T15" s="7">
        <v>10693.4</v>
      </c>
      <c r="U15" s="7">
        <v>6899.5</v>
      </c>
      <c r="V15" s="7">
        <v>13822</v>
      </c>
      <c r="W15" s="7">
        <v>364.1</v>
      </c>
      <c r="X15" s="7">
        <v>11372.7</v>
      </c>
      <c r="Y15" s="7">
        <v>19841.2</v>
      </c>
      <c r="Z15" s="7">
        <v>680</v>
      </c>
      <c r="AA15" s="7">
        <v>24609.200000000001</v>
      </c>
    </row>
    <row r="16" spans="1:28" ht="22.5" customHeight="1">
      <c r="A16" s="4" t="s">
        <v>45</v>
      </c>
      <c r="B16" s="3" t="s">
        <v>20</v>
      </c>
      <c r="C16" s="4" t="s">
        <v>2</v>
      </c>
      <c r="D16" s="6">
        <v>109.1</v>
      </c>
      <c r="E16" s="6">
        <v>103</v>
      </c>
      <c r="F16" s="6">
        <v>109.5</v>
      </c>
      <c r="G16" s="6">
        <v>125</v>
      </c>
      <c r="H16" s="6">
        <v>100.7</v>
      </c>
      <c r="I16" s="6">
        <v>119.9</v>
      </c>
      <c r="J16" s="6">
        <v>106.8</v>
      </c>
      <c r="K16" s="6">
        <v>103.9</v>
      </c>
      <c r="L16" s="6" t="s">
        <v>112</v>
      </c>
      <c r="M16" s="6">
        <v>75</v>
      </c>
      <c r="N16" s="6">
        <v>106.4</v>
      </c>
      <c r="O16" s="6">
        <v>117.5</v>
      </c>
      <c r="P16" s="6">
        <f>P15/765.986*100</f>
        <v>98.665771959278629</v>
      </c>
      <c r="Q16" s="6">
        <v>81.900000000000006</v>
      </c>
      <c r="R16" s="6">
        <v>104</v>
      </c>
      <c r="S16" s="6">
        <v>107.1</v>
      </c>
      <c r="T16" s="6">
        <v>201.3</v>
      </c>
      <c r="U16" s="6">
        <v>105.3</v>
      </c>
      <c r="V16" s="6">
        <v>103.9</v>
      </c>
      <c r="W16" s="6">
        <v>107.2</v>
      </c>
      <c r="X16" s="6">
        <v>114.2</v>
      </c>
      <c r="Y16" s="6">
        <v>105.3</v>
      </c>
      <c r="Z16" s="6">
        <v>123.1</v>
      </c>
      <c r="AA16" s="6">
        <v>112.4</v>
      </c>
    </row>
    <row r="17" spans="1:27" ht="22.5" customHeight="1">
      <c r="A17" s="4" t="s">
        <v>46</v>
      </c>
      <c r="B17" s="3" t="s">
        <v>21</v>
      </c>
      <c r="C17" s="4" t="s">
        <v>24</v>
      </c>
      <c r="D17" s="6">
        <f>D15*1000/D56</f>
        <v>22.688995110124271</v>
      </c>
      <c r="E17" s="6">
        <f>E15*1000/E56</f>
        <v>39.0937299080312</v>
      </c>
      <c r="F17" s="6">
        <f>F15*1000/64589</f>
        <v>10.551533542863336</v>
      </c>
      <c r="G17" s="6">
        <f>G15/G56*1000</f>
        <v>78.986310841328773</v>
      </c>
      <c r="H17" s="6">
        <v>24.8</v>
      </c>
      <c r="I17" s="6">
        <v>77.400000000000006</v>
      </c>
      <c r="J17" s="6">
        <v>56.7</v>
      </c>
      <c r="K17" s="6">
        <v>44.9</v>
      </c>
      <c r="L17" s="6">
        <v>50.4</v>
      </c>
      <c r="M17" s="6">
        <v>25.5</v>
      </c>
      <c r="N17" s="6">
        <v>36.1</v>
      </c>
      <c r="O17" s="6">
        <v>14.28</v>
      </c>
      <c r="P17" s="6">
        <f>P15*1000/P56</f>
        <v>30.579243374468945</v>
      </c>
      <c r="Q17" s="6">
        <f>ROUND(Q15/Q56*1000,1)</f>
        <v>25</v>
      </c>
      <c r="R17" s="6">
        <f>R15*1000/R56</f>
        <v>53.896245934500179</v>
      </c>
      <c r="S17" s="6">
        <v>31.1</v>
      </c>
      <c r="T17" s="6">
        <v>56.4</v>
      </c>
      <c r="U17" s="6">
        <v>37.4</v>
      </c>
      <c r="V17" s="6">
        <v>41.9</v>
      </c>
      <c r="W17" s="6">
        <v>8.4</v>
      </c>
      <c r="X17" s="6">
        <v>43.6</v>
      </c>
      <c r="Y17" s="6">
        <v>47.3</v>
      </c>
      <c r="Z17" s="6">
        <v>9.6999999999999993</v>
      </c>
      <c r="AA17" s="6">
        <v>40.4</v>
      </c>
    </row>
    <row r="18" spans="1:27" s="1" customFormat="1" ht="45.75" customHeight="1">
      <c r="A18" s="12" t="s">
        <v>47</v>
      </c>
      <c r="B18" s="2" t="s">
        <v>23</v>
      </c>
      <c r="C18" s="12" t="s">
        <v>129</v>
      </c>
      <c r="D18" s="7">
        <v>2328.9760000000001</v>
      </c>
      <c r="E18" s="7">
        <v>1963.7</v>
      </c>
      <c r="F18" s="7" t="s">
        <v>93</v>
      </c>
      <c r="G18" s="7">
        <v>1295.9000000000001</v>
      </c>
      <c r="H18" s="7">
        <v>95.4</v>
      </c>
      <c r="I18" s="7">
        <v>2979.5</v>
      </c>
      <c r="J18" s="7" t="s">
        <v>106</v>
      </c>
      <c r="K18" s="7">
        <v>1592.7</v>
      </c>
      <c r="L18" s="7">
        <v>2053.6999999999998</v>
      </c>
      <c r="M18" s="7">
        <v>156.1</v>
      </c>
      <c r="N18" s="7">
        <v>1390.3</v>
      </c>
      <c r="O18" s="7">
        <v>267.96199999999999</v>
      </c>
      <c r="P18" s="7">
        <v>221.428</v>
      </c>
      <c r="Q18" s="7">
        <v>172.529</v>
      </c>
      <c r="R18" s="7" t="s">
        <v>106</v>
      </c>
      <c r="S18" s="7">
        <v>994.26400000000001</v>
      </c>
      <c r="T18" s="7">
        <v>925.9</v>
      </c>
      <c r="U18" s="7">
        <v>1696.4665</v>
      </c>
      <c r="V18" s="7">
        <v>806.2</v>
      </c>
      <c r="W18" s="7" t="s">
        <v>132</v>
      </c>
      <c r="X18" s="7">
        <v>1421.3</v>
      </c>
      <c r="Y18" s="7">
        <v>1885.2</v>
      </c>
      <c r="Z18" s="7">
        <v>384.38799999999998</v>
      </c>
      <c r="AA18" s="7">
        <v>4346.8</v>
      </c>
    </row>
    <row r="19" spans="1:27" ht="15.75" customHeight="1">
      <c r="A19" s="4" t="s">
        <v>48</v>
      </c>
      <c r="B19" s="3" t="s">
        <v>20</v>
      </c>
      <c r="C19" s="4" t="s">
        <v>2</v>
      </c>
      <c r="D19" s="6">
        <v>107.3</v>
      </c>
      <c r="E19" s="6">
        <v>133.80000000000001</v>
      </c>
      <c r="F19" s="6" t="s">
        <v>93</v>
      </c>
      <c r="G19" s="6">
        <v>113.1</v>
      </c>
      <c r="H19" s="6">
        <v>83.5</v>
      </c>
      <c r="I19" s="6">
        <v>121.8</v>
      </c>
      <c r="J19" s="6">
        <v>103.6</v>
      </c>
      <c r="K19" s="6">
        <v>109.1</v>
      </c>
      <c r="L19" s="6" t="s">
        <v>101</v>
      </c>
      <c r="M19" s="6">
        <v>106.9</v>
      </c>
      <c r="N19" s="6">
        <v>119</v>
      </c>
      <c r="O19" s="6">
        <v>106.7</v>
      </c>
      <c r="P19" s="6">
        <f>P18/765.986*100</f>
        <v>28.907577945288814</v>
      </c>
      <c r="Q19" s="6">
        <v>99.4</v>
      </c>
      <c r="R19" s="6">
        <v>109.3</v>
      </c>
      <c r="S19" s="6">
        <v>110.9</v>
      </c>
      <c r="T19" s="6">
        <v>108.9</v>
      </c>
      <c r="U19" s="6">
        <v>104.2</v>
      </c>
      <c r="V19" s="6">
        <v>111.3</v>
      </c>
      <c r="W19" s="6"/>
      <c r="X19" s="6">
        <v>106.8</v>
      </c>
      <c r="Y19" s="6">
        <v>95.9</v>
      </c>
      <c r="Z19" s="6">
        <v>163.4</v>
      </c>
      <c r="AA19" s="6">
        <v>122.9</v>
      </c>
    </row>
    <row r="20" spans="1:27" ht="15.75" customHeight="1">
      <c r="A20" s="4" t="s">
        <v>49</v>
      </c>
      <c r="B20" s="3" t="s">
        <v>21</v>
      </c>
      <c r="C20" s="4" t="s">
        <v>24</v>
      </c>
      <c r="D20" s="6">
        <v>7.3143244779578724</v>
      </c>
      <c r="E20" s="6">
        <v>5.489335532384759</v>
      </c>
      <c r="F20" s="6" t="s">
        <v>93</v>
      </c>
      <c r="G20" s="6">
        <f>G18/G56*1000</f>
        <v>5.8182291643282706</v>
      </c>
      <c r="H20" s="6">
        <v>1.8</v>
      </c>
      <c r="I20" s="6">
        <v>8.3000000000000007</v>
      </c>
      <c r="J20" s="6" t="s">
        <v>106</v>
      </c>
      <c r="K20" s="6">
        <v>3.9</v>
      </c>
      <c r="L20" s="6">
        <v>4.4000000000000004</v>
      </c>
      <c r="M20" s="6">
        <v>4.2</v>
      </c>
      <c r="N20" s="6">
        <v>5</v>
      </c>
      <c r="O20" s="6">
        <v>3.59</v>
      </c>
      <c r="P20" s="6">
        <f>P18*1000/P56</f>
        <v>8.9592555128464504</v>
      </c>
      <c r="Q20" s="6">
        <f>ROUND(Q18/Q56*1000,1)</f>
        <v>4.5</v>
      </c>
      <c r="R20" s="6" t="s">
        <v>106</v>
      </c>
      <c r="S20" s="6">
        <v>4.7300000000000004</v>
      </c>
      <c r="T20" s="6">
        <v>4.9000000000000004</v>
      </c>
      <c r="U20" s="6">
        <v>9.1999999999999993</v>
      </c>
      <c r="V20" s="6">
        <v>2.4</v>
      </c>
      <c r="W20" s="6"/>
      <c r="X20" s="6">
        <v>5.4532200203349506</v>
      </c>
      <c r="Y20" s="6">
        <v>4.5</v>
      </c>
      <c r="Z20" s="6">
        <v>5.5</v>
      </c>
      <c r="AA20" s="6">
        <v>7.1</v>
      </c>
    </row>
    <row r="21" spans="1:27" s="1" customFormat="1" ht="72" customHeight="1">
      <c r="A21" s="25">
        <v>2</v>
      </c>
      <c r="B21" s="29" t="s">
        <v>109</v>
      </c>
      <c r="C21" s="25" t="s">
        <v>4</v>
      </c>
      <c r="D21" s="28">
        <v>45404.483</v>
      </c>
      <c r="E21" s="28">
        <v>17277.099999999999</v>
      </c>
      <c r="F21" s="28">
        <v>1463.68</v>
      </c>
      <c r="G21" s="28">
        <v>13645.1</v>
      </c>
      <c r="H21" s="28">
        <v>867.9</v>
      </c>
      <c r="I21" s="28">
        <v>18266.3</v>
      </c>
      <c r="J21" s="28">
        <v>52843.5</v>
      </c>
      <c r="K21" s="28">
        <v>7842</v>
      </c>
      <c r="L21" s="28">
        <v>63564</v>
      </c>
      <c r="M21" s="28">
        <v>5756.2</v>
      </c>
      <c r="N21" s="28">
        <v>7372.4</v>
      </c>
      <c r="O21" s="28">
        <v>486.09</v>
      </c>
      <c r="P21" s="28">
        <f>36687409/1000</f>
        <v>36687.409</v>
      </c>
      <c r="Q21" s="28">
        <v>5301.4809999999998</v>
      </c>
      <c r="R21" s="28">
        <v>7713.76</v>
      </c>
      <c r="S21" s="28">
        <v>7936.57</v>
      </c>
      <c r="T21" s="28">
        <v>8511.1</v>
      </c>
      <c r="U21" s="28">
        <v>9295.7000000000007</v>
      </c>
      <c r="V21" s="28">
        <v>4997.8999999999996</v>
      </c>
      <c r="W21" s="28">
        <v>537.29999999999995</v>
      </c>
      <c r="X21" s="28">
        <v>10870.4</v>
      </c>
      <c r="Y21" s="28">
        <v>14840.6</v>
      </c>
      <c r="Z21" s="28">
        <v>7511.6</v>
      </c>
      <c r="AA21" s="28">
        <v>36427.800000000003</v>
      </c>
    </row>
    <row r="22" spans="1:27" ht="18.75" customHeight="1">
      <c r="A22" s="4" t="s">
        <v>50</v>
      </c>
      <c r="B22" s="3" t="s">
        <v>20</v>
      </c>
      <c r="C22" s="4" t="s">
        <v>2</v>
      </c>
      <c r="D22" s="6">
        <v>99.4</v>
      </c>
      <c r="E22" s="6">
        <v>133</v>
      </c>
      <c r="F22" s="6">
        <v>132.6</v>
      </c>
      <c r="G22" s="6">
        <v>65.7</v>
      </c>
      <c r="H22" s="6">
        <v>152</v>
      </c>
      <c r="I22" s="6">
        <v>104.8</v>
      </c>
      <c r="J22" s="6">
        <v>131.5</v>
      </c>
      <c r="K22" s="6">
        <v>113.4</v>
      </c>
      <c r="L22" s="6">
        <v>135.5</v>
      </c>
      <c r="M22" s="6">
        <v>93</v>
      </c>
      <c r="N22" s="6">
        <v>109.8</v>
      </c>
      <c r="O22" s="6">
        <v>102.6</v>
      </c>
      <c r="P22" s="6">
        <f>36687.409/29917.506*100</f>
        <v>122.62856736788153</v>
      </c>
      <c r="Q22" s="6">
        <f>ROUND(Q21/2285.026*100,1)</f>
        <v>232</v>
      </c>
      <c r="R22" s="6">
        <v>77.2</v>
      </c>
      <c r="S22" s="6">
        <v>101</v>
      </c>
      <c r="T22" s="6">
        <v>133.30000000000001</v>
      </c>
      <c r="U22" s="6">
        <v>109.5</v>
      </c>
      <c r="V22" s="6">
        <v>71.2</v>
      </c>
      <c r="W22" s="6">
        <v>75.3</v>
      </c>
      <c r="X22" s="6">
        <v>98</v>
      </c>
      <c r="Y22" s="6">
        <v>120.8</v>
      </c>
      <c r="Z22" s="6">
        <v>99.7</v>
      </c>
      <c r="AA22" s="6">
        <v>86.7</v>
      </c>
    </row>
    <row r="23" spans="1:27" ht="19.5" customHeight="1">
      <c r="A23" s="4" t="s">
        <v>51</v>
      </c>
      <c r="B23" s="3" t="s">
        <v>21</v>
      </c>
      <c r="C23" s="4" t="s">
        <v>24</v>
      </c>
      <c r="D23" s="6">
        <f>D21*1000/D56</f>
        <v>142.59619739143815</v>
      </c>
      <c r="E23" s="6">
        <f>E21*1000/E56</f>
        <v>48.296480585916754</v>
      </c>
      <c r="F23" s="6">
        <f>F21*1000/64589</f>
        <v>22.661443899115948</v>
      </c>
      <c r="G23" s="6">
        <f>G21/G56*1000</f>
        <v>61.262689073366531</v>
      </c>
      <c r="H23" s="6">
        <v>15.9</v>
      </c>
      <c r="I23" s="6">
        <v>50.9</v>
      </c>
      <c r="J23" s="6">
        <v>165</v>
      </c>
      <c r="K23" s="6">
        <v>19.3</v>
      </c>
      <c r="L23" s="6">
        <v>134.9</v>
      </c>
      <c r="M23" s="6">
        <v>155.9</v>
      </c>
      <c r="N23" s="6">
        <v>26.6</v>
      </c>
      <c r="O23" s="6">
        <v>6.52</v>
      </c>
      <c r="P23" s="6">
        <f>P21*1000/P56</f>
        <v>1484.4187335626139</v>
      </c>
      <c r="Q23" s="6">
        <f>ROUND(Q21/Q56*1000,1)</f>
        <v>137.4</v>
      </c>
      <c r="R23" s="6">
        <v>27.66</v>
      </c>
      <c r="S23" s="6">
        <f>S21/S56*1000</f>
        <v>37.76244105989884</v>
      </c>
      <c r="T23" s="6">
        <v>44.9</v>
      </c>
      <c r="U23" s="6">
        <v>50.3</v>
      </c>
      <c r="V23" s="6">
        <v>15.1</v>
      </c>
      <c r="W23" s="6">
        <v>12.5</v>
      </c>
      <c r="X23" s="6">
        <v>41.7</v>
      </c>
      <c r="Y23" s="6">
        <v>35.4</v>
      </c>
      <c r="Z23" s="6">
        <v>107.5</v>
      </c>
      <c r="AA23" s="6">
        <v>59.9</v>
      </c>
    </row>
    <row r="24" spans="1:27" s="1" customFormat="1" ht="68.25" customHeight="1">
      <c r="A24" s="25">
        <v>3</v>
      </c>
      <c r="B24" s="29" t="s">
        <v>128</v>
      </c>
      <c r="C24" s="25" t="s">
        <v>4</v>
      </c>
      <c r="D24" s="28">
        <v>5622.5860000000002</v>
      </c>
      <c r="E24" s="31">
        <v>3293.2</v>
      </c>
      <c r="F24" s="31">
        <v>76.822000000000003</v>
      </c>
      <c r="G24" s="28">
        <v>3603.1</v>
      </c>
      <c r="H24" s="28">
        <v>25.9</v>
      </c>
      <c r="I24" s="28">
        <v>2597.9</v>
      </c>
      <c r="J24" s="28">
        <v>10003.4</v>
      </c>
      <c r="K24" s="28">
        <v>1815.7</v>
      </c>
      <c r="L24" s="28">
        <v>11755.3</v>
      </c>
      <c r="M24" s="28" t="s">
        <v>99</v>
      </c>
      <c r="N24" s="28">
        <v>528.4</v>
      </c>
      <c r="O24" s="28" t="s">
        <v>106</v>
      </c>
      <c r="P24" s="28">
        <v>1572.8</v>
      </c>
      <c r="Q24" s="31">
        <v>219.3</v>
      </c>
      <c r="R24" s="28">
        <v>6043</v>
      </c>
      <c r="S24" s="28">
        <v>2340.5</v>
      </c>
      <c r="T24" s="28">
        <v>415.3</v>
      </c>
      <c r="U24" s="28">
        <v>1948</v>
      </c>
      <c r="V24" s="28">
        <v>1572.4</v>
      </c>
      <c r="W24" s="28" t="s">
        <v>132</v>
      </c>
      <c r="X24" s="28">
        <v>2275.6999999999998</v>
      </c>
      <c r="Y24" s="32">
        <v>2145.1999999999998</v>
      </c>
      <c r="Z24" s="28">
        <v>1283</v>
      </c>
      <c r="AA24" s="28">
        <v>7337.1</v>
      </c>
    </row>
    <row r="25" spans="1:27">
      <c r="A25" s="4" t="s">
        <v>52</v>
      </c>
      <c r="B25" s="3" t="s">
        <v>20</v>
      </c>
      <c r="C25" s="4" t="s">
        <v>2</v>
      </c>
      <c r="D25" s="6">
        <v>106.6</v>
      </c>
      <c r="E25" s="6">
        <v>56.7</v>
      </c>
      <c r="F25" s="6">
        <v>69.5</v>
      </c>
      <c r="G25" s="6">
        <v>124.5</v>
      </c>
      <c r="H25" s="6">
        <v>38.799999999999997</v>
      </c>
      <c r="I25" s="6">
        <v>95.6</v>
      </c>
      <c r="J25" s="6">
        <v>121.9</v>
      </c>
      <c r="K25" s="6">
        <v>139.9</v>
      </c>
      <c r="L25" s="6">
        <v>70.900000000000006</v>
      </c>
      <c r="M25" s="6">
        <v>49.4</v>
      </c>
      <c r="N25" s="6">
        <v>67.2</v>
      </c>
      <c r="O25" s="6">
        <v>102</v>
      </c>
      <c r="P25" s="6" t="s">
        <v>98</v>
      </c>
      <c r="Q25" s="6">
        <v>86.5</v>
      </c>
      <c r="R25" s="6">
        <v>139.19999999999999</v>
      </c>
      <c r="S25" s="6">
        <v>85.7</v>
      </c>
      <c r="T25" s="6">
        <v>87.3</v>
      </c>
      <c r="U25" s="6">
        <v>89.5</v>
      </c>
      <c r="V25" s="6">
        <v>82.6</v>
      </c>
      <c r="W25" s="6" t="s">
        <v>106</v>
      </c>
      <c r="X25" s="6">
        <v>83.5</v>
      </c>
      <c r="Y25" s="30">
        <v>134.80000000000001</v>
      </c>
      <c r="Z25" s="6">
        <v>258.2</v>
      </c>
      <c r="AA25" s="6">
        <v>112.1</v>
      </c>
    </row>
    <row r="26" spans="1:27" ht="21.75" customHeight="1">
      <c r="A26" s="4" t="s">
        <v>53</v>
      </c>
      <c r="B26" s="3" t="s">
        <v>21</v>
      </c>
      <c r="C26" s="4" t="s">
        <v>24</v>
      </c>
      <c r="D26" s="6">
        <f>D24*1000/D56</f>
        <v>17.658154660770759</v>
      </c>
      <c r="E26" s="6">
        <f>E24*1000/E56</f>
        <v>9.2058256226763202</v>
      </c>
      <c r="F26" s="6">
        <f>F24*1000/64589</f>
        <v>1.1893975754385422</v>
      </c>
      <c r="G26" s="6">
        <f>G24/G56*1000</f>
        <v>16.176912957783156</v>
      </c>
      <c r="H26" s="6">
        <v>0.47</v>
      </c>
      <c r="I26" s="6">
        <v>7.2</v>
      </c>
      <c r="J26" s="6">
        <v>31.2</v>
      </c>
      <c r="K26" s="6">
        <v>4.5</v>
      </c>
      <c r="L26" s="6">
        <v>24.9</v>
      </c>
      <c r="M26" s="6" t="s">
        <v>143</v>
      </c>
      <c r="N26" s="6">
        <v>1.9</v>
      </c>
      <c r="O26" s="6" t="s">
        <v>106</v>
      </c>
      <c r="P26" s="6">
        <f>P24*1000/P56</f>
        <v>63.637467125227595</v>
      </c>
      <c r="Q26" s="6">
        <f>ROUND(Q24/Q56*1000,1)</f>
        <v>5.7</v>
      </c>
      <c r="R26" s="6">
        <v>21.67</v>
      </c>
      <c r="S26" s="6">
        <v>11.1</v>
      </c>
      <c r="T26" s="6">
        <v>2.2000000000000002</v>
      </c>
      <c r="U26" s="6">
        <v>10.5</v>
      </c>
      <c r="V26" s="6">
        <v>4.8</v>
      </c>
      <c r="W26" s="6" t="s">
        <v>106</v>
      </c>
      <c r="X26" s="6">
        <v>8.6999999999999993</v>
      </c>
      <c r="Y26" s="6">
        <v>5.0999999999999996</v>
      </c>
      <c r="Z26" s="6">
        <v>18.399999999999999</v>
      </c>
      <c r="AA26" s="6">
        <v>12.1</v>
      </c>
    </row>
    <row r="27" spans="1:27" s="1" customFormat="1" ht="33.75" customHeight="1">
      <c r="A27" s="25">
        <v>4</v>
      </c>
      <c r="B27" s="29" t="s">
        <v>5</v>
      </c>
      <c r="C27" s="25" t="s">
        <v>25</v>
      </c>
      <c r="D27" s="28">
        <v>97.063999999999993</v>
      </c>
      <c r="E27" s="28">
        <v>137.6</v>
      </c>
      <c r="F27" s="28">
        <v>9.1630000000000003</v>
      </c>
      <c r="G27" s="28">
        <v>104.7</v>
      </c>
      <c r="H27" s="28">
        <v>23.018999999999998</v>
      </c>
      <c r="I27" s="28">
        <v>182.8</v>
      </c>
      <c r="J27" s="28">
        <v>233.1</v>
      </c>
      <c r="K27" s="28">
        <v>178.8</v>
      </c>
      <c r="L27" s="28">
        <v>457.4</v>
      </c>
      <c r="M27" s="28">
        <v>5.4</v>
      </c>
      <c r="N27" s="28">
        <v>206.7</v>
      </c>
      <c r="O27" s="28">
        <v>33.365000000000002</v>
      </c>
      <c r="P27" s="28">
        <f>5122.2/1000</f>
        <v>5.1221999999999994</v>
      </c>
      <c r="Q27" s="33">
        <v>6.0359999999999996</v>
      </c>
      <c r="R27" s="28">
        <v>144.178</v>
      </c>
      <c r="S27" s="28">
        <v>33.729999999999997</v>
      </c>
      <c r="T27" s="28">
        <v>43.1</v>
      </c>
      <c r="U27" s="28">
        <v>49.7</v>
      </c>
      <c r="V27" s="28">
        <v>190.2</v>
      </c>
      <c r="W27" s="28">
        <v>8.9559999999999995</v>
      </c>
      <c r="X27" s="28">
        <v>121.25</v>
      </c>
      <c r="Y27" s="28">
        <v>331</v>
      </c>
      <c r="Z27" s="28">
        <v>11.8</v>
      </c>
      <c r="AA27" s="28">
        <v>356.9</v>
      </c>
    </row>
    <row r="28" spans="1:27" ht="18" customHeight="1">
      <c r="A28" s="18" t="s">
        <v>55</v>
      </c>
      <c r="B28" s="3" t="s">
        <v>20</v>
      </c>
      <c r="C28" s="4" t="s">
        <v>2</v>
      </c>
      <c r="D28" s="6">
        <v>54.8</v>
      </c>
      <c r="E28" s="6">
        <v>163</v>
      </c>
      <c r="F28" s="6">
        <v>60.6</v>
      </c>
      <c r="G28" s="6">
        <v>55.1</v>
      </c>
      <c r="H28" s="6">
        <v>87.6</v>
      </c>
      <c r="I28" s="6">
        <v>83.3</v>
      </c>
      <c r="J28" s="6">
        <v>80.7</v>
      </c>
      <c r="K28" s="42">
        <v>155.5</v>
      </c>
      <c r="L28" s="6">
        <v>75.7</v>
      </c>
      <c r="M28" s="6">
        <v>81.3</v>
      </c>
      <c r="N28" s="6">
        <v>122.2</v>
      </c>
      <c r="O28" s="6">
        <v>52.9</v>
      </c>
      <c r="P28" s="6">
        <f>5.1222/7.7385*100</f>
        <v>66.191122310525301</v>
      </c>
      <c r="Q28" s="6">
        <f>ROUND(Q27/0.93*100,1)</f>
        <v>649</v>
      </c>
      <c r="R28" s="6">
        <v>76</v>
      </c>
      <c r="S28" s="6">
        <v>37.799999999999997</v>
      </c>
      <c r="T28" s="6">
        <v>101.4</v>
      </c>
      <c r="U28" s="6">
        <v>116.3</v>
      </c>
      <c r="V28" s="6">
        <v>62.7</v>
      </c>
      <c r="W28" s="6">
        <v>62.2</v>
      </c>
      <c r="X28" s="6">
        <v>83.4</v>
      </c>
      <c r="Y28" s="6">
        <v>130.1</v>
      </c>
      <c r="Z28" s="6">
        <v>114</v>
      </c>
      <c r="AA28" s="6">
        <v>88.5</v>
      </c>
    </row>
    <row r="29" spans="1:27" ht="36" customHeight="1">
      <c r="A29" s="4" t="s">
        <v>54</v>
      </c>
      <c r="B29" s="3" t="s">
        <v>15</v>
      </c>
      <c r="C29" s="4" t="s">
        <v>16</v>
      </c>
      <c r="D29" s="38">
        <f t="shared" ref="D29:AA29" si="20">D27*1000/D56</f>
        <v>0.30483680000502494</v>
      </c>
      <c r="E29" s="38">
        <f t="shared" si="20"/>
        <v>0.38464763928102202</v>
      </c>
      <c r="F29" s="38">
        <f t="shared" si="20"/>
        <v>0.14186626205700661</v>
      </c>
      <c r="G29" s="38">
        <f t="shared" si="20"/>
        <v>0.47007376611248547</v>
      </c>
      <c r="H29" s="38">
        <f t="shared" si="20"/>
        <v>0.42287131441168369</v>
      </c>
      <c r="I29" s="38">
        <f t="shared" si="20"/>
        <v>0.50902488875522811</v>
      </c>
      <c r="J29" s="38">
        <f t="shared" si="20"/>
        <v>0.72788930836463783</v>
      </c>
      <c r="K29" s="38">
        <f t="shared" si="20"/>
        <v>0.43982751283445215</v>
      </c>
      <c r="L29" s="38">
        <f t="shared" si="20"/>
        <v>0.97076869854596937</v>
      </c>
      <c r="M29" s="38">
        <f t="shared" si="20"/>
        <v>0.14627407427472439</v>
      </c>
      <c r="N29" s="38">
        <f t="shared" si="20"/>
        <v>0.74496150852002418</v>
      </c>
      <c r="O29" s="38">
        <f t="shared" si="20"/>
        <v>0.44765405927575702</v>
      </c>
      <c r="P29" s="38">
        <f t="shared" si="20"/>
        <v>0.2072506574954481</v>
      </c>
      <c r="Q29" s="38">
        <f t="shared" si="20"/>
        <v>0.15643384735000648</v>
      </c>
      <c r="R29" s="38">
        <f t="shared" si="20"/>
        <v>0.51700607090733708</v>
      </c>
      <c r="S29" s="38">
        <f t="shared" si="20"/>
        <v>0.16048836423674057</v>
      </c>
      <c r="T29" s="38">
        <f t="shared" si="20"/>
        <v>0.22737703966700606</v>
      </c>
      <c r="U29" s="38">
        <f t="shared" si="20"/>
        <v>0.26914183287212784</v>
      </c>
      <c r="V29" s="38">
        <f t="shared" si="20"/>
        <v>0.57647019600592841</v>
      </c>
      <c r="W29" s="38">
        <f t="shared" si="20"/>
        <v>0.20775726083325602</v>
      </c>
      <c r="X29" s="38">
        <f t="shared" si="20"/>
        <v>0.46520996796285996</v>
      </c>
      <c r="Y29" s="38">
        <f t="shared" si="20"/>
        <v>0.78863225910977475</v>
      </c>
      <c r="Z29" s="38">
        <f t="shared" si="20"/>
        <v>0.1689285918799748</v>
      </c>
      <c r="AA29" s="38">
        <f t="shared" si="20"/>
        <v>0.58661968011229437</v>
      </c>
    </row>
    <row r="30" spans="1:27" s="1" customFormat="1" ht="31.5">
      <c r="A30" s="25">
        <v>5</v>
      </c>
      <c r="B30" s="29" t="s">
        <v>105</v>
      </c>
      <c r="C30" s="25" t="s">
        <v>6</v>
      </c>
      <c r="D30" s="28">
        <v>9.65</v>
      </c>
      <c r="E30" s="28">
        <v>8.5</v>
      </c>
      <c r="F30" s="28">
        <v>9.1630000000000003</v>
      </c>
      <c r="G30" s="28">
        <v>4.3</v>
      </c>
      <c r="H30" s="28">
        <v>15.814</v>
      </c>
      <c r="I30" s="28">
        <v>15.8</v>
      </c>
      <c r="J30" s="28">
        <v>9.4</v>
      </c>
      <c r="K30" s="28">
        <v>31.1</v>
      </c>
      <c r="L30" s="28">
        <v>31.9</v>
      </c>
      <c r="M30" s="28">
        <v>2</v>
      </c>
      <c r="N30" s="28">
        <v>23.1</v>
      </c>
      <c r="O30" s="28">
        <v>12.909000000000001</v>
      </c>
      <c r="P30" s="28">
        <f>'[1]прогноз на 2019-2021 - за 2017'!$AF$50/1000</f>
        <v>3.7734000000000001</v>
      </c>
      <c r="Q30" s="28">
        <v>1.5209999999999999</v>
      </c>
      <c r="R30" s="28">
        <v>13.568</v>
      </c>
      <c r="S30" s="28">
        <v>13.88</v>
      </c>
      <c r="T30" s="28">
        <v>14.465</v>
      </c>
      <c r="U30" s="28">
        <v>1.5</v>
      </c>
      <c r="V30" s="28">
        <v>37.299999999999997</v>
      </c>
      <c r="W30" s="28">
        <v>7.2830000000000004</v>
      </c>
      <c r="X30" s="28">
        <v>16.98</v>
      </c>
      <c r="Y30" s="28">
        <v>5.2</v>
      </c>
      <c r="Z30" s="28" t="s">
        <v>98</v>
      </c>
      <c r="AA30" s="28">
        <v>38.5</v>
      </c>
    </row>
    <row r="31" spans="1:27">
      <c r="A31" s="34" t="s">
        <v>56</v>
      </c>
      <c r="B31" s="35" t="s">
        <v>20</v>
      </c>
      <c r="C31" s="34" t="s">
        <v>2</v>
      </c>
      <c r="D31" s="31">
        <v>100.2</v>
      </c>
      <c r="E31" s="31">
        <v>86</v>
      </c>
      <c r="F31" s="31">
        <v>60.6</v>
      </c>
      <c r="G31" s="31">
        <v>80.3</v>
      </c>
      <c r="H31" s="31">
        <v>98.8</v>
      </c>
      <c r="I31" s="31">
        <v>77.3</v>
      </c>
      <c r="J31" s="31">
        <v>86</v>
      </c>
      <c r="K31" s="31">
        <v>2.02</v>
      </c>
      <c r="L31" s="31">
        <v>52.02</v>
      </c>
      <c r="M31" s="31">
        <v>119.2</v>
      </c>
      <c r="N31" s="31">
        <v>65</v>
      </c>
      <c r="O31" s="31">
        <v>111</v>
      </c>
      <c r="P31" s="31">
        <f>('[1]прогноз на 2019-2021 - за 2017'!$AF$50/'[1]прогноз на 2019-2021 - за 2017'!$AB$50)*100</f>
        <v>58.611369990680338</v>
      </c>
      <c r="Q31" s="31">
        <f>ROUND(Q30/0.93*100,1)</f>
        <v>163.5</v>
      </c>
      <c r="R31" s="31">
        <v>67.48</v>
      </c>
      <c r="S31" s="31">
        <v>193.8</v>
      </c>
      <c r="T31" s="31">
        <v>64</v>
      </c>
      <c r="U31" s="31">
        <v>56.4</v>
      </c>
      <c r="V31" s="31">
        <v>59.5</v>
      </c>
      <c r="W31" s="31">
        <v>56.9</v>
      </c>
      <c r="X31" s="31">
        <v>119.2</v>
      </c>
      <c r="Y31" s="31">
        <v>80</v>
      </c>
      <c r="Z31" s="31" t="s">
        <v>98</v>
      </c>
      <c r="AA31" s="31">
        <v>97.4</v>
      </c>
    </row>
    <row r="32" spans="1:27" ht="31.5">
      <c r="A32" s="4" t="s">
        <v>57</v>
      </c>
      <c r="B32" s="3" t="s">
        <v>15</v>
      </c>
      <c r="C32" s="4" t="s">
        <v>16</v>
      </c>
      <c r="D32" s="9">
        <f>D30*1000/D56</f>
        <v>3.0306551554113683E-2</v>
      </c>
      <c r="E32" s="9">
        <f>E30*1000/E56</f>
        <v>2.3760937019539876E-2</v>
      </c>
      <c r="F32" s="6">
        <f>F30*1000/64589</f>
        <v>0.14186626205700661</v>
      </c>
      <c r="G32" s="6">
        <f>G30/G56*1000</f>
        <v>1.9305799372337035E-2</v>
      </c>
      <c r="H32" s="6">
        <v>0.3</v>
      </c>
      <c r="I32" s="9">
        <v>0.04</v>
      </c>
      <c r="J32" s="9">
        <v>0.03</v>
      </c>
      <c r="K32" s="6">
        <v>0.08</v>
      </c>
      <c r="L32" s="6">
        <v>6.8000000000000005E-2</v>
      </c>
      <c r="M32" s="6">
        <v>0.05</v>
      </c>
      <c r="N32" s="6">
        <v>0.1</v>
      </c>
      <c r="O32" s="6">
        <v>0.17299999999999999</v>
      </c>
      <c r="P32" s="6">
        <f>P30*1000/P56</f>
        <v>0.15267651223953066</v>
      </c>
      <c r="Q32" s="9">
        <v>3.9419463522094078E-2</v>
      </c>
      <c r="R32" s="9">
        <v>0.05</v>
      </c>
      <c r="S32" s="6">
        <v>7.0000000000000007E-2</v>
      </c>
      <c r="T32" s="6">
        <v>0.08</v>
      </c>
      <c r="U32" s="9">
        <v>8.0000000000000002E-3</v>
      </c>
      <c r="V32" s="6">
        <v>0.1</v>
      </c>
      <c r="W32" s="6">
        <v>0.17</v>
      </c>
      <c r="X32" s="6">
        <v>7.0000000000000007E-2</v>
      </c>
      <c r="Y32" s="9">
        <v>1.2E-2</v>
      </c>
      <c r="Z32" s="6" t="s">
        <v>98</v>
      </c>
      <c r="AA32" s="6">
        <v>0.06</v>
      </c>
    </row>
    <row r="33" spans="1:28" s="1" customFormat="1" ht="22.5" customHeight="1">
      <c r="A33" s="25">
        <v>6</v>
      </c>
      <c r="B33" s="29" t="s">
        <v>7</v>
      </c>
      <c r="C33" s="25" t="s">
        <v>4</v>
      </c>
      <c r="D33" s="28">
        <v>54021.692999999999</v>
      </c>
      <c r="E33" s="31">
        <v>26922.2</v>
      </c>
      <c r="F33" s="28">
        <v>13426.4</v>
      </c>
      <c r="G33" s="28">
        <v>61410.8</v>
      </c>
      <c r="H33" s="28">
        <v>7561.4859999999999</v>
      </c>
      <c r="I33" s="28">
        <v>99348.4</v>
      </c>
      <c r="J33" s="28">
        <v>59657.8</v>
      </c>
      <c r="K33" s="28">
        <v>36750.199999999997</v>
      </c>
      <c r="L33" s="28">
        <v>56570.9</v>
      </c>
      <c r="M33" s="28">
        <v>2211</v>
      </c>
      <c r="N33" s="28">
        <v>58226.400000000001</v>
      </c>
      <c r="O33" s="36" t="s">
        <v>102</v>
      </c>
      <c r="P33" s="28">
        <v>2335.7035000000001</v>
      </c>
      <c r="Q33" s="36" t="s">
        <v>102</v>
      </c>
      <c r="R33" s="28">
        <v>34028.5</v>
      </c>
      <c r="S33" s="28">
        <v>25288.7</v>
      </c>
      <c r="T33" s="28">
        <v>30850.6</v>
      </c>
      <c r="U33" s="28">
        <v>40766.1</v>
      </c>
      <c r="V33" s="28">
        <v>57032.1</v>
      </c>
      <c r="W33" s="28">
        <v>5727.8</v>
      </c>
      <c r="X33" s="28">
        <v>84324.72</v>
      </c>
      <c r="Y33" s="28">
        <v>59846</v>
      </c>
      <c r="Z33" s="28">
        <v>4150</v>
      </c>
      <c r="AA33" s="25" t="s">
        <v>102</v>
      </c>
    </row>
    <row r="34" spans="1:28" s="1" customFormat="1" ht="18" customHeight="1">
      <c r="A34" s="12"/>
      <c r="B34" s="2" t="s">
        <v>130</v>
      </c>
      <c r="C34" s="12"/>
      <c r="D34" s="7" t="s">
        <v>102</v>
      </c>
      <c r="E34" s="7" t="s">
        <v>102</v>
      </c>
      <c r="F34" s="7" t="s">
        <v>102</v>
      </c>
      <c r="G34" s="7" t="s">
        <v>102</v>
      </c>
      <c r="H34" s="7" t="s">
        <v>102</v>
      </c>
      <c r="I34" s="7" t="s">
        <v>102</v>
      </c>
      <c r="J34" s="7" t="s">
        <v>102</v>
      </c>
      <c r="K34" s="7" t="s">
        <v>102</v>
      </c>
      <c r="L34" s="7" t="s">
        <v>102</v>
      </c>
      <c r="M34" s="7" t="s">
        <v>102</v>
      </c>
      <c r="N34" s="7" t="s">
        <v>102</v>
      </c>
      <c r="O34" s="7">
        <v>5500.47</v>
      </c>
      <c r="P34" s="7" t="s">
        <v>102</v>
      </c>
      <c r="Q34" s="7">
        <v>1503.8689999999999</v>
      </c>
      <c r="R34" s="7" t="s">
        <v>102</v>
      </c>
      <c r="S34" s="7" t="s">
        <v>102</v>
      </c>
      <c r="T34" s="7" t="s">
        <v>102</v>
      </c>
      <c r="U34" s="7" t="s">
        <v>102</v>
      </c>
      <c r="V34" s="7" t="s">
        <v>102</v>
      </c>
      <c r="W34" s="7" t="s">
        <v>102</v>
      </c>
      <c r="X34" s="7" t="s">
        <v>102</v>
      </c>
      <c r="Y34" s="7" t="s">
        <v>102</v>
      </c>
      <c r="Z34" s="7" t="s">
        <v>102</v>
      </c>
      <c r="AA34" s="7">
        <v>63980.800000000003</v>
      </c>
    </row>
    <row r="35" spans="1:28" ht="19.5" customHeight="1">
      <c r="A35" s="4" t="s">
        <v>58</v>
      </c>
      <c r="B35" s="3" t="s">
        <v>92</v>
      </c>
      <c r="C35" s="4" t="s">
        <v>2</v>
      </c>
      <c r="D35" s="6">
        <v>105.2</v>
      </c>
      <c r="E35" s="6">
        <v>114.8</v>
      </c>
      <c r="F35" s="6">
        <v>99.7</v>
      </c>
      <c r="G35" s="6">
        <v>101.1</v>
      </c>
      <c r="H35" s="6">
        <v>103.8</v>
      </c>
      <c r="I35" s="6">
        <v>101.5</v>
      </c>
      <c r="J35" s="6">
        <v>103</v>
      </c>
      <c r="K35" s="6">
        <v>116.2</v>
      </c>
      <c r="L35" s="6">
        <v>92.2</v>
      </c>
      <c r="M35" s="6">
        <v>104.1</v>
      </c>
      <c r="N35" s="6">
        <v>103.4</v>
      </c>
      <c r="O35" s="6">
        <v>112.3</v>
      </c>
      <c r="P35" s="6">
        <v>60.557032079856242</v>
      </c>
      <c r="Q35" s="6">
        <v>112.1</v>
      </c>
      <c r="R35" s="6">
        <v>107.8</v>
      </c>
      <c r="S35" s="6">
        <v>102.9</v>
      </c>
      <c r="T35" s="6">
        <v>108.5</v>
      </c>
      <c r="U35" s="6">
        <v>105.4</v>
      </c>
      <c r="V35" s="6">
        <v>101.8</v>
      </c>
      <c r="W35" s="6">
        <v>97.5</v>
      </c>
      <c r="X35" s="6">
        <v>99.6</v>
      </c>
      <c r="Y35" s="6">
        <v>103</v>
      </c>
      <c r="Z35" s="6">
        <v>100.7</v>
      </c>
      <c r="AA35" s="6">
        <v>111.8</v>
      </c>
    </row>
    <row r="36" spans="1:28" ht="20.25" customHeight="1">
      <c r="A36" s="4" t="s">
        <v>59</v>
      </c>
      <c r="B36" s="3" t="s">
        <v>21</v>
      </c>
      <c r="C36" s="4" t="s">
        <v>24</v>
      </c>
      <c r="D36" s="6">
        <f>D33*1000/D56</f>
        <v>169.65919419119194</v>
      </c>
      <c r="E36" s="6">
        <f>E33*1000/E56</f>
        <v>75.258435132641935</v>
      </c>
      <c r="F36" s="6">
        <v>207.9</v>
      </c>
      <c r="G36" s="6">
        <v>275.7</v>
      </c>
      <c r="H36" s="6">
        <v>138.9</v>
      </c>
      <c r="I36" s="6">
        <v>276.7</v>
      </c>
      <c r="J36" s="6">
        <v>186.3</v>
      </c>
      <c r="K36" s="6">
        <v>90.4</v>
      </c>
      <c r="L36" s="6">
        <v>120</v>
      </c>
      <c r="M36" s="6">
        <v>59.9</v>
      </c>
      <c r="N36" s="6">
        <v>209.9</v>
      </c>
      <c r="O36" s="6">
        <v>73.8</v>
      </c>
      <c r="P36" s="6">
        <v>94.505502731134939</v>
      </c>
      <c r="Q36" s="6">
        <f>ROUND(Q34/Q56*1000,1)</f>
        <v>39</v>
      </c>
      <c r="R36" s="6">
        <v>122.01600000000001</v>
      </c>
      <c r="S36" s="6">
        <v>120.3</v>
      </c>
      <c r="T36" s="6">
        <v>162.80000000000001</v>
      </c>
      <c r="U36" s="6">
        <v>220.76</v>
      </c>
      <c r="V36" s="6">
        <v>172.9</v>
      </c>
      <c r="W36" s="6">
        <v>132.9</v>
      </c>
      <c r="X36" s="6">
        <v>323.3</v>
      </c>
      <c r="Y36" s="6">
        <v>142.6</v>
      </c>
      <c r="Z36" s="6">
        <v>59</v>
      </c>
      <c r="AA36" s="6">
        <v>105.2</v>
      </c>
    </row>
    <row r="37" spans="1:28" s="1" customFormat="1" ht="21" customHeight="1">
      <c r="A37" s="25">
        <v>7</v>
      </c>
      <c r="B37" s="29" t="s">
        <v>8</v>
      </c>
      <c r="C37" s="25" t="s">
        <v>4</v>
      </c>
      <c r="D37" s="28">
        <v>2735.1970000000001</v>
      </c>
      <c r="E37" s="31">
        <v>749.7</v>
      </c>
      <c r="F37" s="28">
        <v>571.9</v>
      </c>
      <c r="G37" s="28">
        <v>2558.6999999999998</v>
      </c>
      <c r="H37" s="28">
        <v>310.13900000000001</v>
      </c>
      <c r="I37" s="28">
        <v>1185.9000000000001</v>
      </c>
      <c r="J37" s="28">
        <v>2400.1999999999998</v>
      </c>
      <c r="K37" s="28">
        <v>1185.9000000000001</v>
      </c>
      <c r="L37" s="28">
        <v>1310.0999999999999</v>
      </c>
      <c r="M37" s="28">
        <v>46.7</v>
      </c>
      <c r="N37" s="28">
        <v>3113.4</v>
      </c>
      <c r="O37" s="36" t="s">
        <v>102</v>
      </c>
      <c r="P37" s="28">
        <v>746.5</v>
      </c>
      <c r="Q37" s="36" t="s">
        <v>102</v>
      </c>
      <c r="R37" s="28">
        <v>823.3</v>
      </c>
      <c r="S37" s="28">
        <v>1500.7</v>
      </c>
      <c r="T37" s="28">
        <v>1357.8</v>
      </c>
      <c r="U37" s="36" t="s">
        <v>102</v>
      </c>
      <c r="V37" s="28">
        <v>685.2</v>
      </c>
      <c r="W37" s="28">
        <v>336.4</v>
      </c>
      <c r="X37" s="28">
        <v>2041.08</v>
      </c>
      <c r="Y37" s="28">
        <v>815</v>
      </c>
      <c r="Z37" s="28" t="s">
        <v>98</v>
      </c>
      <c r="AA37" s="25" t="s">
        <v>102</v>
      </c>
    </row>
    <row r="38" spans="1:28" s="1" customFormat="1" ht="19.5" customHeight="1">
      <c r="A38" s="12"/>
      <c r="B38" s="2" t="s">
        <v>130</v>
      </c>
      <c r="C38" s="12"/>
      <c r="D38" s="7" t="s">
        <v>102</v>
      </c>
      <c r="E38" s="7" t="s">
        <v>102</v>
      </c>
      <c r="F38" s="7" t="s">
        <v>102</v>
      </c>
      <c r="G38" s="7" t="s">
        <v>102</v>
      </c>
      <c r="H38" s="7" t="s">
        <v>102</v>
      </c>
      <c r="I38" s="7" t="s">
        <v>102</v>
      </c>
      <c r="J38" s="7" t="s">
        <v>102</v>
      </c>
      <c r="K38" s="7" t="s">
        <v>102</v>
      </c>
      <c r="L38" s="7" t="s">
        <v>102</v>
      </c>
      <c r="M38" s="7" t="s">
        <v>102</v>
      </c>
      <c r="N38" s="7" t="s">
        <v>102</v>
      </c>
      <c r="O38" s="7">
        <v>120.43</v>
      </c>
      <c r="P38" s="7" t="s">
        <v>102</v>
      </c>
      <c r="Q38" s="6">
        <v>75.183000000000007</v>
      </c>
      <c r="R38" s="7" t="s">
        <v>102</v>
      </c>
      <c r="S38" s="7" t="s">
        <v>102</v>
      </c>
      <c r="T38" s="7" t="s">
        <v>102</v>
      </c>
      <c r="U38" s="7">
        <v>1167.8</v>
      </c>
      <c r="V38" s="7" t="s">
        <v>102</v>
      </c>
      <c r="W38" s="7" t="s">
        <v>102</v>
      </c>
      <c r="X38" s="7" t="s">
        <v>102</v>
      </c>
      <c r="Y38" s="7" t="s">
        <v>102</v>
      </c>
      <c r="Z38" s="7" t="s">
        <v>102</v>
      </c>
      <c r="AA38" s="7">
        <v>1959.9</v>
      </c>
    </row>
    <row r="39" spans="1:28" ht="22.5" customHeight="1">
      <c r="A39" s="4" t="s">
        <v>60</v>
      </c>
      <c r="B39" s="3" t="s">
        <v>92</v>
      </c>
      <c r="C39" s="4" t="s">
        <v>2</v>
      </c>
      <c r="D39" s="6">
        <v>105.9</v>
      </c>
      <c r="E39" s="6">
        <v>122.2</v>
      </c>
      <c r="F39" s="6">
        <v>97.9</v>
      </c>
      <c r="G39" s="6">
        <v>96.4</v>
      </c>
      <c r="H39" s="6">
        <v>105.9</v>
      </c>
      <c r="I39" s="6">
        <v>106.4</v>
      </c>
      <c r="J39" s="6">
        <v>103</v>
      </c>
      <c r="K39" s="6">
        <v>126.3</v>
      </c>
      <c r="L39" s="6">
        <v>106.5</v>
      </c>
      <c r="M39" s="6">
        <v>104.3</v>
      </c>
      <c r="N39" s="6">
        <v>100.9</v>
      </c>
      <c r="O39" s="6">
        <v>98.6</v>
      </c>
      <c r="P39" s="6">
        <v>150.00282322795223</v>
      </c>
      <c r="Q39" s="6">
        <v>80</v>
      </c>
      <c r="R39" s="6">
        <v>108.3</v>
      </c>
      <c r="S39" s="6">
        <v>94.5</v>
      </c>
      <c r="T39" s="6">
        <v>99.4</v>
      </c>
      <c r="U39" s="6">
        <v>101</v>
      </c>
      <c r="V39" s="6">
        <v>110.2</v>
      </c>
      <c r="W39" s="6">
        <v>97.3</v>
      </c>
      <c r="X39" s="6">
        <v>97.8</v>
      </c>
      <c r="Y39" s="6">
        <v>99.5</v>
      </c>
      <c r="Z39" s="6" t="s">
        <v>98</v>
      </c>
      <c r="AA39" s="6">
        <v>99.3</v>
      </c>
    </row>
    <row r="40" spans="1:28" ht="22.5" customHeight="1">
      <c r="A40" s="4" t="s">
        <v>61</v>
      </c>
      <c r="B40" s="3" t="s">
        <v>21</v>
      </c>
      <c r="C40" s="4" t="s">
        <v>24</v>
      </c>
      <c r="D40" s="6">
        <f>D37*1000/D56</f>
        <v>8.5900921130732719</v>
      </c>
      <c r="E40" s="6">
        <f>E37*1000/E56</f>
        <v>2.095714645123417</v>
      </c>
      <c r="F40" s="6">
        <v>8.8559999999999999</v>
      </c>
      <c r="G40" s="6">
        <v>11.5</v>
      </c>
      <c r="H40" s="6">
        <v>5.67</v>
      </c>
      <c r="I40" s="6">
        <v>3.3</v>
      </c>
      <c r="J40" s="6">
        <v>7.5</v>
      </c>
      <c r="K40" s="6">
        <v>2.9</v>
      </c>
      <c r="L40" s="6">
        <v>2.8</v>
      </c>
      <c r="M40" s="6">
        <v>1.3</v>
      </c>
      <c r="N40" s="6">
        <v>11.2</v>
      </c>
      <c r="O40" s="6">
        <v>1.62</v>
      </c>
      <c r="P40" s="6">
        <v>30.20432935464293</v>
      </c>
      <c r="Q40" s="6">
        <f>ROUND(Q38/Q56*1000,1)</f>
        <v>1.9</v>
      </c>
      <c r="R40" s="6">
        <v>2.952</v>
      </c>
      <c r="S40" s="6">
        <v>7.1</v>
      </c>
      <c r="T40" s="6">
        <v>7.2</v>
      </c>
      <c r="U40" s="6">
        <v>6.32</v>
      </c>
      <c r="V40" s="6">
        <v>2.1</v>
      </c>
      <c r="W40" s="6">
        <v>7.8</v>
      </c>
      <c r="X40" s="6">
        <v>7.8</v>
      </c>
      <c r="Y40" s="6">
        <v>1.95</v>
      </c>
      <c r="Z40" s="6" t="s">
        <v>98</v>
      </c>
      <c r="AA40" s="6">
        <v>3.2</v>
      </c>
      <c r="AB40" s="10"/>
    </row>
    <row r="41" spans="1:28" s="1" customFormat="1" ht="30.75" customHeight="1">
      <c r="A41" s="25">
        <v>8</v>
      </c>
      <c r="B41" s="29" t="s">
        <v>62</v>
      </c>
      <c r="C41" s="25" t="s">
        <v>9</v>
      </c>
      <c r="D41" s="37">
        <v>84684</v>
      </c>
      <c r="E41" s="37">
        <v>87548</v>
      </c>
      <c r="F41" s="37">
        <v>16393</v>
      </c>
      <c r="G41" s="37">
        <v>69568</v>
      </c>
      <c r="H41" s="37">
        <v>10274</v>
      </c>
      <c r="I41" s="37">
        <v>103834</v>
      </c>
      <c r="J41" s="37">
        <v>84603</v>
      </c>
      <c r="K41" s="37">
        <v>81876</v>
      </c>
      <c r="L41" s="37" t="s">
        <v>134</v>
      </c>
      <c r="M41" s="37">
        <v>12260</v>
      </c>
      <c r="N41" s="37">
        <v>66271</v>
      </c>
      <c r="O41" s="37">
        <v>18774</v>
      </c>
      <c r="P41" s="37">
        <v>12143</v>
      </c>
      <c r="Q41" s="37">
        <v>10899</v>
      </c>
      <c r="R41" s="37">
        <v>65327</v>
      </c>
      <c r="S41" s="37">
        <v>55694</v>
      </c>
      <c r="T41" s="37">
        <v>54271</v>
      </c>
      <c r="U41" s="37">
        <v>69647</v>
      </c>
      <c r="V41" s="37">
        <v>101904</v>
      </c>
      <c r="W41" s="37">
        <v>9220</v>
      </c>
      <c r="X41" s="37">
        <v>77644</v>
      </c>
      <c r="Y41" s="37">
        <v>107769</v>
      </c>
      <c r="Z41" s="37">
        <v>21252</v>
      </c>
      <c r="AA41" s="37">
        <v>166116</v>
      </c>
    </row>
    <row r="42" spans="1:28" ht="15.75" customHeight="1">
      <c r="A42" s="4" t="s">
        <v>63</v>
      </c>
      <c r="B42" s="3" t="s">
        <v>20</v>
      </c>
      <c r="C42" s="4" t="s">
        <v>2</v>
      </c>
      <c r="D42" s="6">
        <v>99.8</v>
      </c>
      <c r="E42" s="6">
        <v>95.5</v>
      </c>
      <c r="F42" s="6">
        <v>99.3</v>
      </c>
      <c r="G42" s="6">
        <v>98.7</v>
      </c>
      <c r="H42" s="6">
        <v>98.9</v>
      </c>
      <c r="I42" s="6">
        <v>98.6</v>
      </c>
      <c r="J42" s="6">
        <v>101.1</v>
      </c>
      <c r="K42" s="6">
        <v>98.4</v>
      </c>
      <c r="L42" s="6">
        <v>93.9</v>
      </c>
      <c r="M42" s="6">
        <v>99.4</v>
      </c>
      <c r="N42" s="6">
        <v>102.8</v>
      </c>
      <c r="O42" s="6">
        <v>98.4</v>
      </c>
      <c r="P42" s="6">
        <v>95.186956180920291</v>
      </c>
      <c r="Q42" s="6">
        <v>97.9</v>
      </c>
      <c r="R42" s="6">
        <v>99.9</v>
      </c>
      <c r="S42" s="6">
        <v>98.2</v>
      </c>
      <c r="T42" s="6">
        <v>99.2</v>
      </c>
      <c r="U42" s="6">
        <v>101.5</v>
      </c>
      <c r="V42" s="6">
        <v>101</v>
      </c>
      <c r="W42" s="6">
        <v>99.6</v>
      </c>
      <c r="X42" s="6">
        <v>96.5</v>
      </c>
      <c r="Y42" s="6">
        <v>101.3</v>
      </c>
      <c r="Z42" s="6">
        <v>110.7</v>
      </c>
      <c r="AA42" s="6">
        <v>98.8</v>
      </c>
    </row>
    <row r="43" spans="1:28" s="1" customFormat="1" ht="31.5" customHeight="1">
      <c r="A43" s="25">
        <v>9</v>
      </c>
      <c r="B43" s="29" t="s">
        <v>10</v>
      </c>
      <c r="C43" s="25" t="s">
        <v>11</v>
      </c>
      <c r="D43" s="28">
        <v>45744</v>
      </c>
      <c r="E43" s="28">
        <v>45077.3</v>
      </c>
      <c r="F43" s="28">
        <v>28234.3</v>
      </c>
      <c r="G43" s="28" t="s">
        <v>95</v>
      </c>
      <c r="H43" s="28">
        <v>25501.5</v>
      </c>
      <c r="I43" s="28">
        <v>33291.599999999999</v>
      </c>
      <c r="J43" s="28">
        <v>36084</v>
      </c>
      <c r="K43" s="28">
        <v>29496.400000000001</v>
      </c>
      <c r="L43" s="28">
        <v>38685.9</v>
      </c>
      <c r="M43" s="28">
        <v>39954.400000000001</v>
      </c>
      <c r="N43" s="28">
        <v>30386.7</v>
      </c>
      <c r="O43" s="28">
        <v>37925.300000000003</v>
      </c>
      <c r="P43" s="28">
        <v>70421.899999999994</v>
      </c>
      <c r="Q43" s="28">
        <v>37336.699999999997</v>
      </c>
      <c r="R43" s="28">
        <v>41442.699999999997</v>
      </c>
      <c r="S43" s="28">
        <v>29432.3</v>
      </c>
      <c r="T43" s="28">
        <v>31276</v>
      </c>
      <c r="U43" s="28">
        <v>54672.5</v>
      </c>
      <c r="V43" s="28">
        <v>31432.3</v>
      </c>
      <c r="W43" s="28">
        <v>33052.1</v>
      </c>
      <c r="X43" s="28">
        <v>44181</v>
      </c>
      <c r="Y43" s="28">
        <v>36088</v>
      </c>
      <c r="Z43" s="28">
        <v>40761</v>
      </c>
      <c r="AA43" s="28">
        <v>37571</v>
      </c>
    </row>
    <row r="44" spans="1:28" ht="19.5" customHeight="1">
      <c r="A44" s="4" t="s">
        <v>64</v>
      </c>
      <c r="B44" s="3" t="s">
        <v>20</v>
      </c>
      <c r="C44" s="4" t="s">
        <v>2</v>
      </c>
      <c r="D44" s="6">
        <v>104.2</v>
      </c>
      <c r="E44" s="6">
        <v>105.5</v>
      </c>
      <c r="F44" s="6">
        <v>104.7</v>
      </c>
      <c r="G44" s="6">
        <v>106</v>
      </c>
      <c r="H44" s="6">
        <v>107.1</v>
      </c>
      <c r="I44" s="6">
        <v>106.7</v>
      </c>
      <c r="J44" s="6">
        <v>106.4</v>
      </c>
      <c r="K44" s="6">
        <v>106.4</v>
      </c>
      <c r="L44" s="6">
        <v>107.4</v>
      </c>
      <c r="M44" s="6">
        <v>108.7</v>
      </c>
      <c r="N44" s="6">
        <v>107.6</v>
      </c>
      <c r="O44" s="6">
        <v>105.7</v>
      </c>
      <c r="P44" s="6">
        <f>('[1]прогноз на 2019-2021 - за 2017'!$AF$22/'[1]прогноз на 2019-2021 - за 2017'!$AB$22)*100</f>
        <v>99.015913545495181</v>
      </c>
      <c r="Q44" s="6">
        <v>106.2</v>
      </c>
      <c r="R44" s="6">
        <v>106.8</v>
      </c>
      <c r="S44" s="6">
        <v>104.9</v>
      </c>
      <c r="T44" s="6">
        <v>107.4</v>
      </c>
      <c r="U44" s="6">
        <v>106.8</v>
      </c>
      <c r="V44" s="6">
        <v>101.3</v>
      </c>
      <c r="W44" s="6">
        <v>104.3</v>
      </c>
      <c r="X44" s="6">
        <v>104.7</v>
      </c>
      <c r="Y44" s="6">
        <v>106.4</v>
      </c>
      <c r="Z44" s="6">
        <v>106.2</v>
      </c>
      <c r="AA44" s="6">
        <v>108.2</v>
      </c>
    </row>
    <row r="45" spans="1:28" s="1" customFormat="1" ht="18" customHeight="1">
      <c r="A45" s="52">
        <v>10</v>
      </c>
      <c r="B45" s="55" t="s">
        <v>12</v>
      </c>
      <c r="C45" s="12" t="s">
        <v>65</v>
      </c>
      <c r="D45" s="7">
        <v>0.9</v>
      </c>
      <c r="E45" s="7">
        <v>0.8</v>
      </c>
      <c r="F45" s="7" t="s">
        <v>102</v>
      </c>
      <c r="G45" s="7" t="s">
        <v>102</v>
      </c>
      <c r="H45" s="7">
        <v>1.8</v>
      </c>
      <c r="I45" s="7" t="s">
        <v>102</v>
      </c>
      <c r="J45" s="7">
        <v>1.1000000000000001</v>
      </c>
      <c r="K45" s="19" t="s">
        <v>102</v>
      </c>
      <c r="L45" s="7">
        <v>0.5</v>
      </c>
      <c r="M45" s="19" t="s">
        <v>102</v>
      </c>
      <c r="N45" s="7">
        <v>0.35</v>
      </c>
      <c r="O45" s="19" t="s">
        <v>102</v>
      </c>
      <c r="P45" s="7">
        <f>'[1]прогноз на 2019-2021 - за 2017'!$AF$23*100</f>
        <v>2.6</v>
      </c>
      <c r="Q45" s="19" t="s">
        <v>102</v>
      </c>
      <c r="R45" s="7">
        <v>1.23</v>
      </c>
      <c r="S45" s="40">
        <v>0.69</v>
      </c>
      <c r="T45" s="7">
        <v>1.3</v>
      </c>
      <c r="U45" s="7">
        <v>0.54</v>
      </c>
      <c r="V45" s="19" t="s">
        <v>102</v>
      </c>
      <c r="W45" s="19" t="s">
        <v>102</v>
      </c>
      <c r="X45" s="7">
        <v>0.98</v>
      </c>
      <c r="Y45" s="7">
        <v>0.28999999999999998</v>
      </c>
      <c r="Z45" s="7">
        <v>0.55000000000000004</v>
      </c>
      <c r="AA45" s="7">
        <v>0.7</v>
      </c>
    </row>
    <row r="46" spans="1:28" s="1" customFormat="1" ht="33.75" customHeight="1">
      <c r="A46" s="53"/>
      <c r="B46" s="56"/>
      <c r="C46" s="12" t="s">
        <v>140</v>
      </c>
      <c r="D46" s="7" t="s">
        <v>102</v>
      </c>
      <c r="E46" s="7" t="s">
        <v>102</v>
      </c>
      <c r="F46" s="40">
        <v>0.3</v>
      </c>
      <c r="G46" s="40">
        <v>1.3</v>
      </c>
      <c r="H46" s="7" t="s">
        <v>102</v>
      </c>
      <c r="I46" s="40">
        <v>0.9</v>
      </c>
      <c r="J46" s="7" t="s">
        <v>102</v>
      </c>
      <c r="K46" s="40">
        <v>0.4</v>
      </c>
      <c r="L46" s="7" t="s">
        <v>102</v>
      </c>
      <c r="M46" s="40">
        <v>1.7</v>
      </c>
      <c r="N46" s="7" t="s">
        <v>102</v>
      </c>
      <c r="O46" s="7">
        <v>0.8</v>
      </c>
      <c r="P46" s="7"/>
      <c r="Q46" s="40">
        <f>ROUND(((284+203)/2)/21270*100,1)</f>
        <v>1.1000000000000001</v>
      </c>
      <c r="R46" s="7" t="s">
        <v>102</v>
      </c>
      <c r="S46" s="7" t="s">
        <v>102</v>
      </c>
      <c r="T46" s="7" t="s">
        <v>102</v>
      </c>
      <c r="U46" s="7" t="s">
        <v>102</v>
      </c>
      <c r="V46" s="7">
        <v>0.7</v>
      </c>
      <c r="W46" s="7">
        <v>0.8</v>
      </c>
      <c r="X46" s="7" t="s">
        <v>102</v>
      </c>
      <c r="Y46" s="7" t="s">
        <v>102</v>
      </c>
      <c r="Z46" s="7" t="s">
        <v>102</v>
      </c>
      <c r="AA46" s="7" t="s">
        <v>102</v>
      </c>
    </row>
    <row r="47" spans="1:28" s="1" customFormat="1" ht="32.25" customHeight="1">
      <c r="A47" s="12">
        <v>11</v>
      </c>
      <c r="B47" s="2" t="s">
        <v>67</v>
      </c>
      <c r="C47" s="12" t="s">
        <v>9</v>
      </c>
      <c r="D47" s="8">
        <v>1449</v>
      </c>
      <c r="E47" s="8">
        <v>1464</v>
      </c>
      <c r="F47" s="8">
        <v>99</v>
      </c>
      <c r="G47" s="8">
        <v>1677</v>
      </c>
      <c r="H47" s="8">
        <v>516</v>
      </c>
      <c r="I47" s="8">
        <v>1957</v>
      </c>
      <c r="J47" s="8">
        <v>1795</v>
      </c>
      <c r="K47" s="8">
        <v>911</v>
      </c>
      <c r="L47" s="8">
        <v>1229</v>
      </c>
      <c r="M47" s="8">
        <v>345</v>
      </c>
      <c r="N47" s="8">
        <v>486</v>
      </c>
      <c r="O47" s="8">
        <v>306</v>
      </c>
      <c r="P47" s="8">
        <v>592</v>
      </c>
      <c r="Q47" s="8">
        <v>203</v>
      </c>
      <c r="R47" s="8">
        <v>1804</v>
      </c>
      <c r="S47" s="41">
        <v>843</v>
      </c>
      <c r="T47" s="8">
        <v>1330</v>
      </c>
      <c r="U47" s="8">
        <v>511</v>
      </c>
      <c r="V47" s="8">
        <v>1254</v>
      </c>
      <c r="W47" s="8">
        <v>187</v>
      </c>
      <c r="X47" s="8">
        <v>1401</v>
      </c>
      <c r="Y47" s="8">
        <v>652</v>
      </c>
      <c r="Z47" s="8">
        <v>226</v>
      </c>
      <c r="AA47" s="8">
        <v>2606</v>
      </c>
    </row>
    <row r="48" spans="1:28" ht="17.25" customHeight="1">
      <c r="A48" s="4" t="s">
        <v>66</v>
      </c>
      <c r="B48" s="3" t="s">
        <v>20</v>
      </c>
      <c r="C48" s="4" t="s">
        <v>2</v>
      </c>
      <c r="D48" s="6">
        <v>90.6</v>
      </c>
      <c r="E48" s="6">
        <v>93.2</v>
      </c>
      <c r="F48" s="6">
        <f>F47/107*100</f>
        <v>92.523364485981304</v>
      </c>
      <c r="G48" s="6">
        <v>77.8</v>
      </c>
      <c r="H48" s="6">
        <v>110.2</v>
      </c>
      <c r="I48" s="6">
        <v>87.7</v>
      </c>
      <c r="J48" s="6">
        <v>80.7</v>
      </c>
      <c r="K48" s="6">
        <v>65.099999999999994</v>
      </c>
      <c r="L48" s="6">
        <v>86.9</v>
      </c>
      <c r="M48" s="6">
        <v>96.1</v>
      </c>
      <c r="N48" s="6">
        <v>92.4</v>
      </c>
      <c r="O48" s="6">
        <v>82.2</v>
      </c>
      <c r="P48" s="6">
        <f>592/591*100</f>
        <v>100.16920473773266</v>
      </c>
      <c r="Q48" s="6">
        <f>ROUND(203/284*100,1)</f>
        <v>71.5</v>
      </c>
      <c r="R48" s="6">
        <v>80.900000000000006</v>
      </c>
      <c r="S48" s="6">
        <v>88</v>
      </c>
      <c r="T48" s="6">
        <v>77.900000000000006</v>
      </c>
      <c r="U48" s="6">
        <v>83.4</v>
      </c>
      <c r="V48" s="6">
        <v>81.099999999999994</v>
      </c>
      <c r="W48" s="6">
        <v>90.8</v>
      </c>
      <c r="X48" s="6">
        <v>89.5</v>
      </c>
      <c r="Y48" s="6">
        <v>51.1</v>
      </c>
      <c r="Z48" s="6">
        <v>92.2</v>
      </c>
      <c r="AA48" s="6">
        <v>83.9</v>
      </c>
    </row>
    <row r="49" spans="1:27" s="1" customFormat="1" ht="33" customHeight="1">
      <c r="A49" s="12">
        <v>12</v>
      </c>
      <c r="B49" s="2" t="s">
        <v>133</v>
      </c>
      <c r="C49" s="12" t="s">
        <v>9</v>
      </c>
      <c r="D49" s="8">
        <v>3338</v>
      </c>
      <c r="E49" s="8">
        <v>4786</v>
      </c>
      <c r="F49" s="8">
        <v>325</v>
      </c>
      <c r="G49" s="41">
        <v>1127</v>
      </c>
      <c r="H49" s="41">
        <v>567</v>
      </c>
      <c r="I49" s="8">
        <v>2794</v>
      </c>
      <c r="J49" s="8">
        <v>4610</v>
      </c>
      <c r="K49" s="8">
        <v>3373</v>
      </c>
      <c r="L49" s="8">
        <v>8345</v>
      </c>
      <c r="M49" s="8">
        <v>2189</v>
      </c>
      <c r="N49" s="41">
        <v>3093</v>
      </c>
      <c r="O49" s="41">
        <v>354</v>
      </c>
      <c r="P49" s="41">
        <v>597</v>
      </c>
      <c r="Q49" s="41" t="s">
        <v>138</v>
      </c>
      <c r="R49" s="8">
        <v>1687</v>
      </c>
      <c r="S49" s="41">
        <v>1417</v>
      </c>
      <c r="T49" s="8">
        <v>1225</v>
      </c>
      <c r="U49" s="8">
        <v>2277</v>
      </c>
      <c r="V49" s="8">
        <v>2664</v>
      </c>
      <c r="W49" s="8">
        <v>96</v>
      </c>
      <c r="X49" s="8">
        <v>3156</v>
      </c>
      <c r="Y49" s="8">
        <v>5858</v>
      </c>
      <c r="Z49" s="8">
        <v>1053</v>
      </c>
      <c r="AA49" s="8">
        <v>6235</v>
      </c>
    </row>
    <row r="50" spans="1:27" s="1" customFormat="1" ht="55.5" customHeight="1">
      <c r="A50" s="12">
        <v>13</v>
      </c>
      <c r="B50" s="2" t="s">
        <v>68</v>
      </c>
      <c r="C50" s="12" t="s">
        <v>26</v>
      </c>
      <c r="D50" s="7">
        <v>0.47663271420011982</v>
      </c>
      <c r="E50" s="7">
        <v>0.4</v>
      </c>
      <c r="F50" s="7">
        <v>0.30461538461538462</v>
      </c>
      <c r="G50" s="40">
        <v>1.5590062111801242</v>
      </c>
      <c r="H50" s="40">
        <v>1</v>
      </c>
      <c r="I50" s="7">
        <v>1.1000000000000001</v>
      </c>
      <c r="J50" s="7">
        <v>0.4</v>
      </c>
      <c r="K50" s="7">
        <v>0.5</v>
      </c>
      <c r="L50" s="7" t="s">
        <v>98</v>
      </c>
      <c r="M50" s="40">
        <v>0.19597989949748743</v>
      </c>
      <c r="N50" s="7">
        <v>0.43</v>
      </c>
      <c r="O50" s="40">
        <v>1.4</v>
      </c>
      <c r="P50" s="7" t="s">
        <v>98</v>
      </c>
      <c r="Q50" s="40">
        <v>1.5</v>
      </c>
      <c r="R50" s="40">
        <v>1.28</v>
      </c>
      <c r="S50" s="40">
        <v>0.7</v>
      </c>
      <c r="T50" s="7">
        <v>0.9</v>
      </c>
      <c r="U50" s="7">
        <v>0.36</v>
      </c>
      <c r="V50" s="7">
        <v>0.72860360360360366</v>
      </c>
      <c r="W50" s="7">
        <v>2.1</v>
      </c>
      <c r="X50" s="7">
        <v>0.5</v>
      </c>
      <c r="Y50" s="7">
        <v>0.15</v>
      </c>
      <c r="Z50" s="7" t="s">
        <v>98</v>
      </c>
      <c r="AA50" s="7">
        <v>0.52</v>
      </c>
    </row>
    <row r="51" spans="1:27" s="1" customFormat="1" ht="21" customHeight="1">
      <c r="A51" s="12">
        <v>14</v>
      </c>
      <c r="B51" s="2" t="s">
        <v>69</v>
      </c>
      <c r="C51" s="12" t="s">
        <v>9</v>
      </c>
      <c r="D51" s="7"/>
      <c r="E51" s="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6"/>
      <c r="R51" s="7"/>
      <c r="S51" s="7"/>
      <c r="T51" s="7"/>
      <c r="U51" s="7"/>
      <c r="V51" s="7"/>
      <c r="W51" s="7"/>
      <c r="X51" s="7"/>
      <c r="Y51" s="7"/>
      <c r="Z51" s="7"/>
      <c r="AA51" s="6"/>
    </row>
    <row r="52" spans="1:27" ht="16.5" customHeight="1">
      <c r="A52" s="4" t="s">
        <v>70</v>
      </c>
      <c r="B52" s="3" t="s">
        <v>72</v>
      </c>
      <c r="C52" s="4" t="s">
        <v>9</v>
      </c>
      <c r="D52" s="20">
        <v>318856</v>
      </c>
      <c r="E52" s="20">
        <v>358594</v>
      </c>
      <c r="F52" s="20">
        <v>65116</v>
      </c>
      <c r="G52" s="20">
        <v>222594</v>
      </c>
      <c r="H52" s="20">
        <v>54616</v>
      </c>
      <c r="I52" s="20">
        <v>358700</v>
      </c>
      <c r="J52" s="20">
        <v>320702</v>
      </c>
      <c r="K52" s="20">
        <v>406933</v>
      </c>
      <c r="L52" s="20">
        <v>467289</v>
      </c>
      <c r="M52" s="20">
        <v>37092</v>
      </c>
      <c r="N52" s="20">
        <v>277648</v>
      </c>
      <c r="O52" s="20">
        <v>74688</v>
      </c>
      <c r="P52" s="20">
        <v>24654</v>
      </c>
      <c r="Q52" s="20">
        <v>38735</v>
      </c>
      <c r="R52" s="20">
        <v>278551</v>
      </c>
      <c r="S52" s="20">
        <v>209840</v>
      </c>
      <c r="T52" s="20">
        <v>190429</v>
      </c>
      <c r="U52" s="20">
        <v>185042</v>
      </c>
      <c r="V52" s="20">
        <v>329853</v>
      </c>
      <c r="W52" s="20">
        <v>43469</v>
      </c>
      <c r="X52" s="20">
        <v>260448</v>
      </c>
      <c r="Y52" s="20">
        <v>419363</v>
      </c>
      <c r="Z52" s="20">
        <v>69800</v>
      </c>
      <c r="AA52" s="20">
        <v>608079</v>
      </c>
    </row>
    <row r="53" spans="1:27" s="1" customFormat="1" ht="23.25" customHeight="1">
      <c r="A53" s="21" t="s">
        <v>71</v>
      </c>
      <c r="B53" s="22" t="s">
        <v>73</v>
      </c>
      <c r="C53" s="21" t="s">
        <v>9</v>
      </c>
      <c r="D53" s="23">
        <v>317970</v>
      </c>
      <c r="E53" s="23">
        <v>356867</v>
      </c>
      <c r="F53" s="23">
        <v>64063</v>
      </c>
      <c r="G53" s="23">
        <v>222868</v>
      </c>
      <c r="H53" s="23">
        <v>54253</v>
      </c>
      <c r="I53" s="23">
        <v>359535</v>
      </c>
      <c r="J53" s="23">
        <v>319780</v>
      </c>
      <c r="K53" s="23">
        <v>406113</v>
      </c>
      <c r="L53" s="23">
        <v>475056</v>
      </c>
      <c r="M53" s="23">
        <v>36742</v>
      </c>
      <c r="N53" s="23">
        <v>277280</v>
      </c>
      <c r="O53" s="23">
        <v>74378</v>
      </c>
      <c r="P53" s="23">
        <v>24775</v>
      </c>
      <c r="Q53" s="23">
        <v>38434</v>
      </c>
      <c r="R53" s="23">
        <v>279190</v>
      </c>
      <c r="S53" s="23">
        <v>210501</v>
      </c>
      <c r="T53" s="23">
        <v>188678</v>
      </c>
      <c r="U53" s="23">
        <v>184280</v>
      </c>
      <c r="V53" s="23">
        <v>330025</v>
      </c>
      <c r="W53" s="23">
        <v>42747</v>
      </c>
      <c r="X53" s="23">
        <v>260822</v>
      </c>
      <c r="Y53" s="23">
        <v>420065</v>
      </c>
      <c r="Z53" s="23">
        <v>69905</v>
      </c>
      <c r="AA53" s="23">
        <v>608722</v>
      </c>
    </row>
    <row r="54" spans="1:27">
      <c r="A54" s="4" t="s">
        <v>74</v>
      </c>
      <c r="B54" s="3" t="s">
        <v>27</v>
      </c>
      <c r="C54" s="4" t="s">
        <v>9</v>
      </c>
      <c r="D54" s="20">
        <f t="shared" ref="D54:N54" si="21">D53-D52</f>
        <v>-886</v>
      </c>
      <c r="E54" s="20">
        <f t="shared" si="21"/>
        <v>-1727</v>
      </c>
      <c r="F54" s="20">
        <f t="shared" si="21"/>
        <v>-1053</v>
      </c>
      <c r="G54" s="20">
        <f t="shared" si="21"/>
        <v>274</v>
      </c>
      <c r="H54" s="20">
        <f t="shared" si="21"/>
        <v>-363</v>
      </c>
      <c r="I54" s="20">
        <f t="shared" si="21"/>
        <v>835</v>
      </c>
      <c r="J54" s="20">
        <f t="shared" si="21"/>
        <v>-922</v>
      </c>
      <c r="K54" s="20">
        <f t="shared" si="21"/>
        <v>-820</v>
      </c>
      <c r="L54" s="20">
        <f t="shared" si="21"/>
        <v>7767</v>
      </c>
      <c r="M54" s="20">
        <f t="shared" si="21"/>
        <v>-350</v>
      </c>
      <c r="N54" s="20">
        <f t="shared" si="21"/>
        <v>-368</v>
      </c>
      <c r="O54" s="20">
        <f t="shared" ref="O54:AA54" si="22">O53-O52</f>
        <v>-310</v>
      </c>
      <c r="P54" s="44">
        <f t="shared" si="22"/>
        <v>121</v>
      </c>
      <c r="Q54" s="20">
        <f t="shared" si="22"/>
        <v>-301</v>
      </c>
      <c r="R54" s="44">
        <f t="shared" si="22"/>
        <v>639</v>
      </c>
      <c r="S54" s="20">
        <f>S53-S52</f>
        <v>661</v>
      </c>
      <c r="T54" s="20">
        <f t="shared" si="22"/>
        <v>-1751</v>
      </c>
      <c r="U54" s="20">
        <f t="shared" si="22"/>
        <v>-762</v>
      </c>
      <c r="V54" s="20">
        <f t="shared" si="22"/>
        <v>172</v>
      </c>
      <c r="W54" s="20">
        <f t="shared" si="22"/>
        <v>-722</v>
      </c>
      <c r="X54" s="20">
        <f t="shared" si="22"/>
        <v>374</v>
      </c>
      <c r="Y54" s="20">
        <f t="shared" si="22"/>
        <v>702</v>
      </c>
      <c r="Z54" s="20">
        <f t="shared" si="22"/>
        <v>105</v>
      </c>
      <c r="AA54" s="20">
        <f t="shared" si="22"/>
        <v>643</v>
      </c>
    </row>
    <row r="55" spans="1:27">
      <c r="A55" s="4" t="s">
        <v>75</v>
      </c>
      <c r="B55" s="3" t="s">
        <v>17</v>
      </c>
      <c r="C55" s="4" t="s">
        <v>2</v>
      </c>
      <c r="D55" s="6">
        <f t="shared" ref="D55:AA55" si="23">D53/D52*100</f>
        <v>99.722131620543436</v>
      </c>
      <c r="E55" s="6">
        <f t="shared" si="23"/>
        <v>99.518396849919412</v>
      </c>
      <c r="F55" s="6">
        <f t="shared" si="23"/>
        <v>98.382885926653969</v>
      </c>
      <c r="G55" s="6">
        <f t="shared" si="23"/>
        <v>100.12309406363154</v>
      </c>
      <c r="H55" s="6">
        <f t="shared" si="23"/>
        <v>99.335359601581956</v>
      </c>
      <c r="I55" s="6">
        <f t="shared" si="23"/>
        <v>100.23278505715083</v>
      </c>
      <c r="J55" s="6">
        <f t="shared" si="23"/>
        <v>99.712505690641152</v>
      </c>
      <c r="K55" s="6">
        <f t="shared" si="23"/>
        <v>99.798492626550313</v>
      </c>
      <c r="L55" s="6">
        <f t="shared" si="23"/>
        <v>101.66214055969647</v>
      </c>
      <c r="M55" s="6">
        <f t="shared" si="23"/>
        <v>99.056400301951911</v>
      </c>
      <c r="N55" s="6">
        <f t="shared" si="23"/>
        <v>99.8674580764133</v>
      </c>
      <c r="O55" s="6">
        <f t="shared" si="23"/>
        <v>99.584940017137953</v>
      </c>
      <c r="P55" s="42">
        <f t="shared" si="23"/>
        <v>100.49079256915714</v>
      </c>
      <c r="Q55" s="6">
        <f t="shared" si="23"/>
        <v>99.222925003227061</v>
      </c>
      <c r="R55" s="42">
        <f t="shared" si="23"/>
        <v>100.22940143815676</v>
      </c>
      <c r="S55" s="42">
        <f t="shared" si="23"/>
        <v>100.31500190621425</v>
      </c>
      <c r="T55" s="6">
        <f t="shared" si="23"/>
        <v>99.08049719317961</v>
      </c>
      <c r="U55" s="6">
        <f t="shared" si="23"/>
        <v>99.588201597475162</v>
      </c>
      <c r="V55" s="6">
        <f t="shared" si="23"/>
        <v>100.05214444009907</v>
      </c>
      <c r="W55" s="6">
        <f t="shared" si="23"/>
        <v>98.339046216844181</v>
      </c>
      <c r="X55" s="6">
        <f t="shared" si="23"/>
        <v>100.14359872220176</v>
      </c>
      <c r="Y55" s="6">
        <f t="shared" si="23"/>
        <v>100.16739674220186</v>
      </c>
      <c r="Z55" s="6">
        <f t="shared" si="23"/>
        <v>100.15042979942695</v>
      </c>
      <c r="AA55" s="6">
        <f t="shared" si="23"/>
        <v>100.10574283933502</v>
      </c>
    </row>
    <row r="56" spans="1:27" s="1" customFormat="1" ht="19.5" customHeight="1">
      <c r="A56" s="21">
        <v>15</v>
      </c>
      <c r="B56" s="22" t="s">
        <v>76</v>
      </c>
      <c r="C56" s="21" t="s">
        <v>9</v>
      </c>
      <c r="D56" s="23">
        <f>AVERAGE(D52:D53)</f>
        <v>318413</v>
      </c>
      <c r="E56" s="23">
        <v>357730</v>
      </c>
      <c r="F56" s="23">
        <v>64589</v>
      </c>
      <c r="G56" s="23">
        <v>222731</v>
      </c>
      <c r="H56" s="23">
        <v>54435</v>
      </c>
      <c r="I56" s="23">
        <v>359118</v>
      </c>
      <c r="J56" s="23">
        <v>320241</v>
      </c>
      <c r="K56" s="23">
        <v>406523</v>
      </c>
      <c r="L56" s="23">
        <v>471173</v>
      </c>
      <c r="M56" s="23">
        <v>36917</v>
      </c>
      <c r="N56" s="23">
        <v>277464</v>
      </c>
      <c r="O56" s="23">
        <v>74533</v>
      </c>
      <c r="P56" s="23">
        <f>'[1]прогноз на 2019-2021 - за 2017'!$AF$10*1000</f>
        <v>24715</v>
      </c>
      <c r="Q56" s="23">
        <v>38585</v>
      </c>
      <c r="R56" s="23">
        <v>278871</v>
      </c>
      <c r="S56" s="23">
        <v>210171</v>
      </c>
      <c r="T56" s="23">
        <v>189553</v>
      </c>
      <c r="U56" s="23">
        <v>184661</v>
      </c>
      <c r="V56" s="23">
        <v>329939</v>
      </c>
      <c r="W56" s="23">
        <v>43108</v>
      </c>
      <c r="X56" s="23">
        <v>260635</v>
      </c>
      <c r="Y56" s="23">
        <v>419714</v>
      </c>
      <c r="Z56" s="23">
        <v>69852</v>
      </c>
      <c r="AA56" s="23">
        <v>608401</v>
      </c>
    </row>
    <row r="57" spans="1:27" s="1" customFormat="1" ht="16.5" customHeight="1">
      <c r="A57" s="12">
        <v>16</v>
      </c>
      <c r="B57" s="2" t="s">
        <v>28</v>
      </c>
      <c r="C57" s="12" t="s">
        <v>9</v>
      </c>
      <c r="D57" s="8">
        <v>3762</v>
      </c>
      <c r="E57" s="8">
        <v>3593</v>
      </c>
      <c r="F57" s="41">
        <v>708</v>
      </c>
      <c r="G57" s="8">
        <v>2571</v>
      </c>
      <c r="H57" s="8">
        <v>553</v>
      </c>
      <c r="I57" s="8">
        <v>3701</v>
      </c>
      <c r="J57" s="8">
        <v>4254</v>
      </c>
      <c r="K57" s="8">
        <v>4002</v>
      </c>
      <c r="L57" s="8">
        <v>5431</v>
      </c>
      <c r="M57" s="8">
        <v>401</v>
      </c>
      <c r="N57" s="8">
        <v>3432</v>
      </c>
      <c r="O57" s="8">
        <v>795</v>
      </c>
      <c r="P57" s="41">
        <v>376</v>
      </c>
      <c r="Q57" s="8">
        <v>361</v>
      </c>
      <c r="R57" s="41">
        <v>3095</v>
      </c>
      <c r="S57" s="41">
        <v>2359</v>
      </c>
      <c r="T57" s="41">
        <v>1907</v>
      </c>
      <c r="U57" s="8">
        <v>2003</v>
      </c>
      <c r="V57" s="8">
        <v>3641</v>
      </c>
      <c r="W57" s="41">
        <v>364</v>
      </c>
      <c r="X57" s="8">
        <v>3106</v>
      </c>
      <c r="Y57" s="8">
        <v>4674</v>
      </c>
      <c r="Z57" s="41">
        <v>653</v>
      </c>
      <c r="AA57" s="41">
        <v>6799</v>
      </c>
    </row>
    <row r="58" spans="1:27">
      <c r="A58" s="4" t="s">
        <v>77</v>
      </c>
      <c r="B58" s="3" t="s">
        <v>20</v>
      </c>
      <c r="C58" s="4" t="s">
        <v>2</v>
      </c>
      <c r="D58" s="6">
        <v>84.8</v>
      </c>
      <c r="E58" s="6">
        <v>86.6</v>
      </c>
      <c r="F58" s="42">
        <v>97.1</v>
      </c>
      <c r="G58" s="6">
        <v>84.4</v>
      </c>
      <c r="H58" s="6">
        <v>89.5</v>
      </c>
      <c r="I58" s="6">
        <v>85</v>
      </c>
      <c r="J58" s="6">
        <v>84</v>
      </c>
      <c r="K58" s="6">
        <v>87.6</v>
      </c>
      <c r="L58" s="6">
        <v>89.1</v>
      </c>
      <c r="M58" s="6">
        <v>87.6</v>
      </c>
      <c r="N58" s="6">
        <v>90.6</v>
      </c>
      <c r="O58" s="6">
        <v>84.6</v>
      </c>
      <c r="P58" s="40">
        <v>80.86</v>
      </c>
      <c r="Q58" s="6">
        <f>ROUND(361/455*100,1)</f>
        <v>79.3</v>
      </c>
      <c r="R58" s="42">
        <v>84.4</v>
      </c>
      <c r="S58" s="42">
        <v>83.9</v>
      </c>
      <c r="T58" s="42">
        <v>88.1</v>
      </c>
      <c r="U58" s="6">
        <v>93</v>
      </c>
      <c r="V58" s="6">
        <v>90.5</v>
      </c>
      <c r="W58" s="42">
        <v>81.400000000000006</v>
      </c>
      <c r="X58" s="6">
        <v>85.4</v>
      </c>
      <c r="Y58" s="6">
        <v>88.6</v>
      </c>
      <c r="Z58" s="42">
        <v>92.9</v>
      </c>
      <c r="AA58" s="42">
        <f>AA57/7814*100</f>
        <v>87.010493985154852</v>
      </c>
    </row>
    <row r="59" spans="1:27">
      <c r="A59" s="4" t="s">
        <v>78</v>
      </c>
      <c r="B59" s="3" t="s">
        <v>13</v>
      </c>
      <c r="C59" s="4" t="s">
        <v>142</v>
      </c>
      <c r="D59" s="6">
        <f t="shared" ref="D59:S59" si="24">D57/D56*1000</f>
        <v>11.814844243168464</v>
      </c>
      <c r="E59" s="6">
        <f t="shared" si="24"/>
        <v>10.043887848377267</v>
      </c>
      <c r="F59" s="6">
        <f t="shared" si="24"/>
        <v>10.961618851507222</v>
      </c>
      <c r="G59" s="6">
        <f t="shared" si="24"/>
        <v>11.54307213634384</v>
      </c>
      <c r="H59" s="6">
        <f t="shared" si="24"/>
        <v>10.158905116193624</v>
      </c>
      <c r="I59" s="6">
        <f t="shared" si="24"/>
        <v>10.305804777259841</v>
      </c>
      <c r="J59" s="6">
        <f t="shared" si="24"/>
        <v>13.283745679035476</v>
      </c>
      <c r="K59" s="6">
        <f t="shared" si="24"/>
        <v>9.8444614449858925</v>
      </c>
      <c r="L59" s="6">
        <f t="shared" si="24"/>
        <v>11.526551818546478</v>
      </c>
      <c r="M59" s="6">
        <f t="shared" si="24"/>
        <v>10.862204404474904</v>
      </c>
      <c r="N59" s="6">
        <f t="shared" si="24"/>
        <v>12.369172216936251</v>
      </c>
      <c r="O59" s="6">
        <f t="shared" si="24"/>
        <v>10.666416218319402</v>
      </c>
      <c r="P59" s="42">
        <f t="shared" si="24"/>
        <v>15.213433137770584</v>
      </c>
      <c r="Q59" s="6">
        <f t="shared" si="24"/>
        <v>9.3559673448231173</v>
      </c>
      <c r="R59" s="42">
        <f t="shared" si="24"/>
        <v>11.098321446116664</v>
      </c>
      <c r="S59" s="42">
        <f t="shared" si="24"/>
        <v>11.224193632803765</v>
      </c>
      <c r="T59" s="6">
        <v>10</v>
      </c>
      <c r="U59" s="6">
        <v>10.85</v>
      </c>
      <c r="V59" s="6">
        <f t="shared" ref="V59:AA59" si="25">V57/V56*1000</f>
        <v>11.03537320535008</v>
      </c>
      <c r="W59" s="6">
        <f t="shared" si="25"/>
        <v>8.443908323281061</v>
      </c>
      <c r="X59" s="6">
        <f t="shared" si="25"/>
        <v>11.917048746331076</v>
      </c>
      <c r="Y59" s="6">
        <f t="shared" si="25"/>
        <v>11.136154619574281</v>
      </c>
      <c r="Z59" s="42">
        <f t="shared" si="25"/>
        <v>9.3483364828494544</v>
      </c>
      <c r="AA59" s="6">
        <f t="shared" si="25"/>
        <v>11.175195307042559</v>
      </c>
    </row>
    <row r="60" spans="1:27" s="1" customFormat="1" ht="20.25" customHeight="1">
      <c r="A60" s="12">
        <v>17</v>
      </c>
      <c r="B60" s="2" t="s">
        <v>29</v>
      </c>
      <c r="C60" s="12" t="s">
        <v>9</v>
      </c>
      <c r="D60" s="8">
        <v>4061</v>
      </c>
      <c r="E60" s="8">
        <v>3967</v>
      </c>
      <c r="F60" s="41">
        <v>1250</v>
      </c>
      <c r="G60" s="8">
        <v>2918</v>
      </c>
      <c r="H60" s="8">
        <v>853</v>
      </c>
      <c r="I60" s="8">
        <v>4542</v>
      </c>
      <c r="J60" s="8">
        <v>3845</v>
      </c>
      <c r="K60" s="8">
        <v>5813</v>
      </c>
      <c r="L60" s="8">
        <v>5831</v>
      </c>
      <c r="M60" s="8">
        <v>487</v>
      </c>
      <c r="N60" s="8">
        <v>3601</v>
      </c>
      <c r="O60" s="8">
        <v>1004</v>
      </c>
      <c r="P60" s="41">
        <v>188</v>
      </c>
      <c r="Q60" s="8">
        <v>444</v>
      </c>
      <c r="R60" s="41">
        <v>3221</v>
      </c>
      <c r="S60" s="41">
        <v>2795</v>
      </c>
      <c r="T60" s="41">
        <v>3314</v>
      </c>
      <c r="U60" s="8">
        <v>2098</v>
      </c>
      <c r="V60" s="8">
        <v>4361</v>
      </c>
      <c r="W60" s="41">
        <v>844</v>
      </c>
      <c r="X60" s="8">
        <v>2491</v>
      </c>
      <c r="Y60" s="8">
        <v>5724</v>
      </c>
      <c r="Z60" s="41">
        <v>1147</v>
      </c>
      <c r="AA60" s="41">
        <v>8199</v>
      </c>
    </row>
    <row r="61" spans="1:27" ht="15.75" customHeight="1">
      <c r="A61" s="4" t="s">
        <v>79</v>
      </c>
      <c r="B61" s="3" t="s">
        <v>20</v>
      </c>
      <c r="C61" s="4" t="s">
        <v>2</v>
      </c>
      <c r="D61" s="6">
        <v>97.9</v>
      </c>
      <c r="E61" s="6">
        <v>97.5</v>
      </c>
      <c r="F61" s="42">
        <v>95.3</v>
      </c>
      <c r="G61" s="6">
        <v>100.1</v>
      </c>
      <c r="H61" s="6">
        <v>89.8</v>
      </c>
      <c r="I61" s="6">
        <v>94.6</v>
      </c>
      <c r="J61" s="6">
        <v>97.6</v>
      </c>
      <c r="K61" s="6">
        <v>99.7</v>
      </c>
      <c r="L61" s="6">
        <v>101.3</v>
      </c>
      <c r="M61" s="6">
        <v>103</v>
      </c>
      <c r="N61" s="6">
        <v>94</v>
      </c>
      <c r="O61" s="6">
        <v>97.6</v>
      </c>
      <c r="P61" s="40">
        <v>108.67</v>
      </c>
      <c r="Q61" s="6">
        <f>ROUND(444/515*100,1)</f>
        <v>86.2</v>
      </c>
      <c r="R61" s="42">
        <v>101.1</v>
      </c>
      <c r="S61" s="42">
        <v>101.6</v>
      </c>
      <c r="T61" s="42">
        <v>98</v>
      </c>
      <c r="U61" s="6">
        <v>91.4</v>
      </c>
      <c r="V61" s="6">
        <v>98.2</v>
      </c>
      <c r="W61" s="42">
        <v>92.7</v>
      </c>
      <c r="X61" s="6">
        <v>94.4</v>
      </c>
      <c r="Y61" s="6">
        <v>95.9</v>
      </c>
      <c r="Z61" s="42">
        <v>98.7</v>
      </c>
      <c r="AA61" s="42">
        <f>AA60/8641*100</f>
        <v>94.884851290359919</v>
      </c>
    </row>
    <row r="62" spans="1:27">
      <c r="A62" s="4" t="s">
        <v>80</v>
      </c>
      <c r="B62" s="3" t="s">
        <v>14</v>
      </c>
      <c r="C62" s="4" t="s">
        <v>142</v>
      </c>
      <c r="D62" s="6">
        <f>D60/D56*1000</f>
        <v>12.753876255052401</v>
      </c>
      <c r="E62" s="6">
        <f>E60*1000/E56</f>
        <v>11.089369077237022</v>
      </c>
      <c r="F62" s="6">
        <v>19.2</v>
      </c>
      <c r="G62" s="6">
        <f t="shared" ref="G62:AA62" si="26">G60*1000/G56</f>
        <v>13.101005248483597</v>
      </c>
      <c r="H62" s="6">
        <f t="shared" si="26"/>
        <v>15.670065215394507</v>
      </c>
      <c r="I62" s="6">
        <f t="shared" si="26"/>
        <v>12.647653417539638</v>
      </c>
      <c r="J62" s="6">
        <f t="shared" si="26"/>
        <v>12.006582542522663</v>
      </c>
      <c r="K62" s="6">
        <f t="shared" si="26"/>
        <v>14.29931393795677</v>
      </c>
      <c r="L62" s="6">
        <f t="shared" si="26"/>
        <v>12.375496898166915</v>
      </c>
      <c r="M62" s="6">
        <f t="shared" si="26"/>
        <v>13.19175447625755</v>
      </c>
      <c r="N62" s="6">
        <f t="shared" si="26"/>
        <v>12.978260242770233</v>
      </c>
      <c r="O62" s="6">
        <f t="shared" si="26"/>
        <v>13.470543249298968</v>
      </c>
      <c r="P62" s="42">
        <f t="shared" si="26"/>
        <v>7.6067165688852922</v>
      </c>
      <c r="Q62" s="6">
        <f t="shared" si="26"/>
        <v>11.507062329920954</v>
      </c>
      <c r="R62" s="42">
        <f t="shared" si="26"/>
        <v>11.550143256200895</v>
      </c>
      <c r="S62" s="6">
        <f t="shared" si="26"/>
        <v>13.298694872270675</v>
      </c>
      <c r="T62" s="6">
        <f>T60*1000/T56</f>
        <v>17.483236878340094</v>
      </c>
      <c r="U62" s="6">
        <f t="shared" si="26"/>
        <v>11.361359464099079</v>
      </c>
      <c r="V62" s="6">
        <f t="shared" si="26"/>
        <v>13.217594767517632</v>
      </c>
      <c r="W62" s="6">
        <f t="shared" si="26"/>
        <v>19.578732485849493</v>
      </c>
      <c r="X62" s="42">
        <f t="shared" si="26"/>
        <v>9.5574270531586318</v>
      </c>
      <c r="Y62" s="6">
        <f t="shared" si="26"/>
        <v>13.63785816055695</v>
      </c>
      <c r="Z62" s="42">
        <f t="shared" si="26"/>
        <v>16.42043177002806</v>
      </c>
      <c r="AA62" s="42">
        <f t="shared" si="26"/>
        <v>13.47630921053713</v>
      </c>
    </row>
    <row r="63" spans="1:27" s="1" customFormat="1">
      <c r="A63" s="12">
        <v>18</v>
      </c>
      <c r="B63" s="2" t="s">
        <v>32</v>
      </c>
      <c r="C63" s="12" t="s">
        <v>9</v>
      </c>
      <c r="D63" s="8">
        <v>-299</v>
      </c>
      <c r="E63" s="8">
        <v>-374</v>
      </c>
      <c r="F63" s="41">
        <f>F57-F60</f>
        <v>-542</v>
      </c>
      <c r="G63" s="8">
        <v>-347</v>
      </c>
      <c r="H63" s="8">
        <v>-300</v>
      </c>
      <c r="I63" s="8">
        <v>-841</v>
      </c>
      <c r="J63" s="8">
        <v>409</v>
      </c>
      <c r="K63" s="8">
        <v>-1811</v>
      </c>
      <c r="L63" s="8">
        <v>-400</v>
      </c>
      <c r="M63" s="8">
        <v>-86</v>
      </c>
      <c r="N63" s="8">
        <v>-169</v>
      </c>
      <c r="O63" s="8">
        <v>-209</v>
      </c>
      <c r="P63" s="41">
        <f>P57-P60</f>
        <v>188</v>
      </c>
      <c r="Q63" s="8">
        <f>Q57-Q60</f>
        <v>-83</v>
      </c>
      <c r="R63" s="41">
        <v>-126</v>
      </c>
      <c r="S63" s="41">
        <f>S57-S60</f>
        <v>-436</v>
      </c>
      <c r="T63" s="41">
        <f>T57-T60</f>
        <v>-1407</v>
      </c>
      <c r="U63" s="8">
        <v>-95</v>
      </c>
      <c r="V63" s="8">
        <v>-720</v>
      </c>
      <c r="W63" s="41">
        <f>W57-W60</f>
        <v>-480</v>
      </c>
      <c r="X63" s="8">
        <v>615</v>
      </c>
      <c r="Y63" s="8">
        <v>-1050</v>
      </c>
      <c r="Z63" s="8">
        <f>Z57-Z60</f>
        <v>-494</v>
      </c>
      <c r="AA63" s="41">
        <f>AA57-AA60</f>
        <v>-1400</v>
      </c>
    </row>
    <row r="64" spans="1:27" ht="31.5">
      <c r="A64" s="4" t="s">
        <v>81</v>
      </c>
      <c r="B64" s="3" t="s">
        <v>137</v>
      </c>
      <c r="C64" s="4" t="s">
        <v>142</v>
      </c>
      <c r="D64" s="6">
        <v>-0.93903201188393692</v>
      </c>
      <c r="E64" s="6">
        <v>-1.0454812288597546</v>
      </c>
      <c r="F64" s="42">
        <f>F63/F56*1000</f>
        <v>-8.3915217761538354</v>
      </c>
      <c r="G64" s="6">
        <v>-1.6</v>
      </c>
      <c r="H64" s="6">
        <v>-5.5</v>
      </c>
      <c r="I64" s="42">
        <v>-2.2999999999999998</v>
      </c>
      <c r="J64" s="6">
        <v>1.3</v>
      </c>
      <c r="K64" s="6">
        <v>-4.45</v>
      </c>
      <c r="L64" s="42">
        <v>-0.8</v>
      </c>
      <c r="M64" s="6">
        <v>-2.2999999999999998</v>
      </c>
      <c r="N64" s="6">
        <v>-0.6</v>
      </c>
      <c r="O64" s="6">
        <v>-2.81</v>
      </c>
      <c r="P64" s="42">
        <v>7.59</v>
      </c>
      <c r="Q64" s="6">
        <v>-2.1510949850978367</v>
      </c>
      <c r="R64" s="42">
        <v>-0.5</v>
      </c>
      <c r="S64" s="42">
        <v>-2.0745061747485969</v>
      </c>
      <c r="T64" s="6">
        <v>-7.4</v>
      </c>
      <c r="U64" s="6">
        <v>-0.51</v>
      </c>
      <c r="V64" s="6">
        <v>-2.1800000000000002</v>
      </c>
      <c r="W64" s="42">
        <v>-11.1</v>
      </c>
      <c r="X64" s="6">
        <v>2.4</v>
      </c>
      <c r="Y64" s="6">
        <v>-2.5</v>
      </c>
      <c r="Z64" s="42">
        <v>-7.1</v>
      </c>
      <c r="AA64" s="42">
        <v>-2.2999999999999998</v>
      </c>
    </row>
    <row r="65" spans="1:31" s="1" customFormat="1">
      <c r="A65" s="12">
        <v>19</v>
      </c>
      <c r="B65" s="2" t="s">
        <v>30</v>
      </c>
      <c r="C65" s="12" t="s">
        <v>9</v>
      </c>
      <c r="D65" s="8">
        <v>6364</v>
      </c>
      <c r="E65" s="8">
        <v>10412</v>
      </c>
      <c r="F65" s="8">
        <v>1324</v>
      </c>
      <c r="G65" s="8">
        <v>8938</v>
      </c>
      <c r="H65" s="8">
        <v>2178</v>
      </c>
      <c r="I65" s="8">
        <v>9375</v>
      </c>
      <c r="J65" s="8">
        <v>6946</v>
      </c>
      <c r="K65" s="8">
        <v>11408</v>
      </c>
      <c r="L65" s="8">
        <v>22279</v>
      </c>
      <c r="M65" s="8">
        <v>944</v>
      </c>
      <c r="N65" s="8">
        <v>8701</v>
      </c>
      <c r="O65" s="8">
        <v>2647</v>
      </c>
      <c r="P65" s="41">
        <v>1263</v>
      </c>
      <c r="Q65" s="8">
        <v>899</v>
      </c>
      <c r="R65" s="41">
        <v>9323</v>
      </c>
      <c r="S65" s="41">
        <v>11265</v>
      </c>
      <c r="T65" s="8">
        <v>2854</v>
      </c>
      <c r="U65" s="8">
        <v>5148</v>
      </c>
      <c r="V65" s="8">
        <v>14386</v>
      </c>
      <c r="W65" s="8">
        <v>1595</v>
      </c>
      <c r="X65" s="8">
        <v>8350</v>
      </c>
      <c r="Y65" s="8">
        <v>11188</v>
      </c>
      <c r="Z65" s="8">
        <v>3403</v>
      </c>
      <c r="AA65" s="8">
        <v>17247</v>
      </c>
    </row>
    <row r="66" spans="1:31">
      <c r="A66" s="4" t="s">
        <v>82</v>
      </c>
      <c r="B66" s="3" t="s">
        <v>20</v>
      </c>
      <c r="C66" s="4" t="s">
        <v>2</v>
      </c>
      <c r="D66" s="6">
        <v>90.2</v>
      </c>
      <c r="E66" s="6">
        <v>99.3</v>
      </c>
      <c r="F66" s="6">
        <f>F65/1435*100</f>
        <v>92.264808362369337</v>
      </c>
      <c r="G66" s="6">
        <v>103.9</v>
      </c>
      <c r="H66" s="6">
        <v>101.8</v>
      </c>
      <c r="I66" s="6">
        <v>105.2</v>
      </c>
      <c r="J66" s="6">
        <v>94.8</v>
      </c>
      <c r="K66" s="6">
        <v>100.1</v>
      </c>
      <c r="L66" s="6">
        <v>111.4</v>
      </c>
      <c r="M66" s="6">
        <v>101.6</v>
      </c>
      <c r="N66" s="6">
        <v>88.8</v>
      </c>
      <c r="O66" s="6">
        <v>97.6</v>
      </c>
      <c r="P66" s="42">
        <v>105.95637583892616</v>
      </c>
      <c r="Q66" s="6">
        <f>ROUND(Q65/936*100,1)</f>
        <v>96</v>
      </c>
      <c r="R66" s="42">
        <v>101.6</v>
      </c>
      <c r="S66" s="42">
        <v>113.7878787878788</v>
      </c>
      <c r="T66" s="6">
        <v>92.9</v>
      </c>
      <c r="U66" s="6">
        <v>106.4</v>
      </c>
      <c r="V66" s="6">
        <v>102.4</v>
      </c>
      <c r="W66" s="6">
        <v>122.3</v>
      </c>
      <c r="X66" s="6">
        <v>99.1</v>
      </c>
      <c r="Y66" s="6">
        <v>91.9</v>
      </c>
      <c r="Z66" s="6">
        <v>123.2</v>
      </c>
      <c r="AA66" s="6">
        <v>102.6</v>
      </c>
    </row>
    <row r="67" spans="1:31" s="1" customFormat="1" ht="15.75" customHeight="1">
      <c r="A67" s="12">
        <v>20</v>
      </c>
      <c r="B67" s="2" t="s">
        <v>31</v>
      </c>
      <c r="C67" s="12" t="s">
        <v>9</v>
      </c>
      <c r="D67" s="8">
        <v>6951</v>
      </c>
      <c r="E67" s="8">
        <v>11765</v>
      </c>
      <c r="F67" s="8">
        <v>1835</v>
      </c>
      <c r="G67" s="8">
        <v>8317</v>
      </c>
      <c r="H67" s="8">
        <v>2241</v>
      </c>
      <c r="I67" s="8">
        <v>7699</v>
      </c>
      <c r="J67" s="8">
        <v>8277</v>
      </c>
      <c r="K67" s="8">
        <v>10417</v>
      </c>
      <c r="L67" s="8">
        <v>14112</v>
      </c>
      <c r="M67" s="8">
        <v>1208</v>
      </c>
      <c r="N67" s="8">
        <v>8900</v>
      </c>
      <c r="O67" s="8">
        <v>2748</v>
      </c>
      <c r="P67" s="41">
        <v>1330</v>
      </c>
      <c r="Q67" s="8">
        <v>1117</v>
      </c>
      <c r="R67" s="41">
        <v>8558</v>
      </c>
      <c r="S67" s="41">
        <v>10168</v>
      </c>
      <c r="T67" s="8">
        <v>3198</v>
      </c>
      <c r="U67" s="8">
        <v>5815</v>
      </c>
      <c r="V67" s="8">
        <v>13494</v>
      </c>
      <c r="W67" s="8">
        <v>1837</v>
      </c>
      <c r="X67" s="8">
        <v>8591</v>
      </c>
      <c r="Y67" s="8">
        <v>9436</v>
      </c>
      <c r="Z67" s="8">
        <v>2804</v>
      </c>
      <c r="AA67" s="8">
        <v>15204</v>
      </c>
    </row>
    <row r="68" spans="1:31">
      <c r="A68" s="4" t="s">
        <v>83</v>
      </c>
      <c r="B68" s="3" t="s">
        <v>20</v>
      </c>
      <c r="C68" s="4" t="s">
        <v>2</v>
      </c>
      <c r="D68" s="6">
        <v>99</v>
      </c>
      <c r="E68" s="6">
        <v>114.4</v>
      </c>
      <c r="F68" s="6">
        <f>F67/1632*100</f>
        <v>112.43872549019606</v>
      </c>
      <c r="G68" s="6">
        <v>103.9</v>
      </c>
      <c r="H68" s="6">
        <v>102.9</v>
      </c>
      <c r="I68" s="6">
        <v>107.7</v>
      </c>
      <c r="J68" s="6">
        <v>99</v>
      </c>
      <c r="K68" s="6">
        <v>92.8</v>
      </c>
      <c r="L68" s="6">
        <v>111.9</v>
      </c>
      <c r="M68" s="6">
        <v>112.1</v>
      </c>
      <c r="N68" s="6">
        <v>101.2</v>
      </c>
      <c r="O68" s="6">
        <v>114.9</v>
      </c>
      <c r="P68" s="42">
        <v>97.435897435897431</v>
      </c>
      <c r="Q68" s="6">
        <f>ROUND(Q67/1047*100,1)</f>
        <v>106.7</v>
      </c>
      <c r="R68" s="42">
        <v>104.1</v>
      </c>
      <c r="S68" s="42">
        <v>123</v>
      </c>
      <c r="T68" s="6">
        <v>97.9</v>
      </c>
      <c r="U68" s="6">
        <v>100.4</v>
      </c>
      <c r="V68" s="6">
        <v>106.4</v>
      </c>
      <c r="W68" s="6">
        <v>111.9</v>
      </c>
      <c r="X68" s="6">
        <v>102.5</v>
      </c>
      <c r="Y68" s="6">
        <v>110.1</v>
      </c>
      <c r="Z68" s="6">
        <v>111</v>
      </c>
      <c r="AA68" s="6">
        <v>104.1</v>
      </c>
    </row>
    <row r="69" spans="1:31" s="1" customFormat="1">
      <c r="A69" s="12">
        <v>21</v>
      </c>
      <c r="B69" s="2" t="s">
        <v>33</v>
      </c>
      <c r="C69" s="12" t="s">
        <v>9</v>
      </c>
      <c r="D69" s="8">
        <v>-587</v>
      </c>
      <c r="E69" s="8">
        <v>-1353</v>
      </c>
      <c r="F69" s="41">
        <v>-511</v>
      </c>
      <c r="G69" s="8">
        <v>621</v>
      </c>
      <c r="H69" s="8">
        <v>-63</v>
      </c>
      <c r="I69" s="8">
        <v>1676</v>
      </c>
      <c r="J69" s="8">
        <v>-1331</v>
      </c>
      <c r="K69" s="8">
        <v>991</v>
      </c>
      <c r="L69" s="8">
        <v>8167</v>
      </c>
      <c r="M69" s="8">
        <v>-264</v>
      </c>
      <c r="N69" s="8">
        <v>-199</v>
      </c>
      <c r="O69" s="8">
        <v>-101</v>
      </c>
      <c r="P69" s="41">
        <v>-67</v>
      </c>
      <c r="Q69" s="8">
        <f>Q65-Q67</f>
        <v>-218</v>
      </c>
      <c r="R69" s="41">
        <v>765</v>
      </c>
      <c r="S69" s="8">
        <f>S65-S67</f>
        <v>1097</v>
      </c>
      <c r="T69" s="8">
        <v>-344</v>
      </c>
      <c r="U69" s="8">
        <v>-667</v>
      </c>
      <c r="V69" s="8">
        <v>892</v>
      </c>
      <c r="W69" s="8">
        <v>-242</v>
      </c>
      <c r="X69" s="8">
        <v>-241</v>
      </c>
      <c r="Y69" s="8" t="s">
        <v>110</v>
      </c>
      <c r="Z69" s="8">
        <v>599</v>
      </c>
      <c r="AA69" s="8">
        <v>2043</v>
      </c>
    </row>
    <row r="70" spans="1:31" ht="31.5">
      <c r="A70" s="4" t="s">
        <v>84</v>
      </c>
      <c r="B70" s="3" t="s">
        <v>85</v>
      </c>
      <c r="C70" s="4" t="s">
        <v>142</v>
      </c>
      <c r="D70" s="6">
        <v>-1.8435176955714747</v>
      </c>
      <c r="E70" s="6">
        <v>-3.7821820926397005</v>
      </c>
      <c r="F70" s="42">
        <v>-7.9115638885878408</v>
      </c>
      <c r="G70" s="6">
        <v>2.8</v>
      </c>
      <c r="H70" s="6">
        <v>-1.2</v>
      </c>
      <c r="I70" s="6">
        <v>4.7</v>
      </c>
      <c r="J70" s="6">
        <v>-4.2</v>
      </c>
      <c r="K70" s="6">
        <v>2.44</v>
      </c>
      <c r="L70" s="6">
        <v>17.3</v>
      </c>
      <c r="M70" s="6">
        <v>-7.2</v>
      </c>
      <c r="N70" s="6">
        <v>-0.7</v>
      </c>
      <c r="O70" s="42">
        <f>O69/O56*1000</f>
        <v>-1.355104450377685</v>
      </c>
      <c r="P70" s="42">
        <v>-2.7109043091240137</v>
      </c>
      <c r="Q70" s="6">
        <v>-5.6</v>
      </c>
      <c r="R70" s="42">
        <v>2.7432038469399829</v>
      </c>
      <c r="S70" s="42">
        <v>5.2</v>
      </c>
      <c r="T70" s="42">
        <v>-1.8147958618433895</v>
      </c>
      <c r="U70" s="6">
        <v>-3.61</v>
      </c>
      <c r="V70" s="6">
        <v>2.7</v>
      </c>
      <c r="W70" s="6">
        <v>-5.6</v>
      </c>
      <c r="X70" s="42">
        <v>-0.9</v>
      </c>
      <c r="Y70" s="6">
        <v>4.2</v>
      </c>
      <c r="Z70" s="42">
        <v>8.6</v>
      </c>
      <c r="AA70" s="6">
        <v>3.4</v>
      </c>
    </row>
    <row r="71" spans="1:31" s="1" customFormat="1" ht="17.25" customHeight="1">
      <c r="A71" s="12">
        <v>22</v>
      </c>
      <c r="B71" s="2" t="s">
        <v>34</v>
      </c>
      <c r="C71" s="12" t="s">
        <v>35</v>
      </c>
      <c r="D71" s="8">
        <v>2253</v>
      </c>
      <c r="E71" s="20" t="s">
        <v>98</v>
      </c>
      <c r="F71" s="8">
        <v>441</v>
      </c>
      <c r="G71" s="8">
        <v>1873</v>
      </c>
      <c r="H71" s="8">
        <v>320</v>
      </c>
      <c r="I71" s="8">
        <v>2231</v>
      </c>
      <c r="J71" s="8">
        <v>2312</v>
      </c>
      <c r="K71" s="8">
        <v>2421</v>
      </c>
      <c r="L71" s="8">
        <v>3958</v>
      </c>
      <c r="M71" s="8">
        <v>283</v>
      </c>
      <c r="N71" s="8">
        <v>2122</v>
      </c>
      <c r="O71" s="8">
        <v>499</v>
      </c>
      <c r="P71" s="41">
        <v>249</v>
      </c>
      <c r="Q71" s="8">
        <v>279</v>
      </c>
      <c r="R71" s="8">
        <v>1878</v>
      </c>
      <c r="S71" s="8">
        <v>1580</v>
      </c>
      <c r="T71" s="8">
        <v>1479</v>
      </c>
      <c r="U71" s="8">
        <v>1611</v>
      </c>
      <c r="V71" s="8">
        <v>2499</v>
      </c>
      <c r="W71" s="8">
        <v>296</v>
      </c>
      <c r="X71" s="8">
        <v>1662</v>
      </c>
      <c r="Y71" s="8">
        <v>3197</v>
      </c>
      <c r="Z71" s="8">
        <v>573</v>
      </c>
      <c r="AA71" s="8">
        <v>4160</v>
      </c>
    </row>
    <row r="72" spans="1:31">
      <c r="A72" s="4" t="s">
        <v>86</v>
      </c>
      <c r="B72" s="3" t="s">
        <v>20</v>
      </c>
      <c r="C72" s="4" t="s">
        <v>2</v>
      </c>
      <c r="D72" s="6">
        <v>100.8</v>
      </c>
      <c r="E72" s="20" t="s">
        <v>98</v>
      </c>
      <c r="F72" s="6">
        <v>96.1</v>
      </c>
      <c r="G72" s="6">
        <v>104.2</v>
      </c>
      <c r="H72" s="6">
        <v>119.4</v>
      </c>
      <c r="I72" s="6">
        <v>100.2</v>
      </c>
      <c r="J72" s="6">
        <v>105.1</v>
      </c>
      <c r="K72" s="6">
        <v>101</v>
      </c>
      <c r="L72" s="6">
        <v>108</v>
      </c>
      <c r="M72" s="6">
        <v>124.1</v>
      </c>
      <c r="N72" s="6">
        <v>104.8</v>
      </c>
      <c r="O72" s="6">
        <v>109.9</v>
      </c>
      <c r="P72" s="40">
        <v>107.32758620689656</v>
      </c>
      <c r="Q72" s="6">
        <f>ROUND(Q71/265*100,1)</f>
        <v>105.3</v>
      </c>
      <c r="R72" s="6">
        <v>99.6</v>
      </c>
      <c r="S72" s="6">
        <v>108.4</v>
      </c>
      <c r="T72" s="6">
        <v>98.9</v>
      </c>
      <c r="U72" s="6">
        <v>117.1</v>
      </c>
      <c r="V72" s="6">
        <v>108.7</v>
      </c>
      <c r="W72" s="6">
        <v>104.6</v>
      </c>
      <c r="X72" s="6">
        <v>106.3</v>
      </c>
      <c r="Y72" s="6">
        <v>103.6</v>
      </c>
      <c r="Z72" s="6">
        <v>119.3</v>
      </c>
      <c r="AA72" s="6">
        <v>105.8</v>
      </c>
    </row>
    <row r="73" spans="1:31" s="1" customFormat="1">
      <c r="A73" s="12">
        <v>23</v>
      </c>
      <c r="B73" s="2" t="s">
        <v>36</v>
      </c>
      <c r="C73" s="12" t="s">
        <v>35</v>
      </c>
      <c r="D73" s="8">
        <v>1343</v>
      </c>
      <c r="E73" s="20" t="s">
        <v>98</v>
      </c>
      <c r="F73" s="8">
        <v>291</v>
      </c>
      <c r="G73" s="8">
        <v>1037</v>
      </c>
      <c r="H73" s="8">
        <v>191</v>
      </c>
      <c r="I73" s="8">
        <v>1432</v>
      </c>
      <c r="J73" s="8">
        <v>1365</v>
      </c>
      <c r="K73" s="8">
        <v>1577</v>
      </c>
      <c r="L73" s="8">
        <v>2516</v>
      </c>
      <c r="M73" s="8">
        <v>186</v>
      </c>
      <c r="N73" s="8">
        <v>1211</v>
      </c>
      <c r="O73" s="8">
        <v>322</v>
      </c>
      <c r="P73" s="41">
        <v>136</v>
      </c>
      <c r="Q73" s="8">
        <v>186</v>
      </c>
      <c r="R73" s="8">
        <v>1093</v>
      </c>
      <c r="S73" s="8">
        <v>947</v>
      </c>
      <c r="T73" s="8">
        <v>803</v>
      </c>
      <c r="U73" s="8">
        <v>904</v>
      </c>
      <c r="V73" s="8">
        <v>1494</v>
      </c>
      <c r="W73" s="8">
        <v>175</v>
      </c>
      <c r="X73" s="8">
        <v>1163</v>
      </c>
      <c r="Y73" s="8">
        <v>1818</v>
      </c>
      <c r="Z73" s="8">
        <v>329</v>
      </c>
      <c r="AA73" s="8">
        <v>2463</v>
      </c>
    </row>
    <row r="74" spans="1:31">
      <c r="A74" s="4" t="s">
        <v>87</v>
      </c>
      <c r="B74" s="3" t="s">
        <v>20</v>
      </c>
      <c r="C74" s="4" t="s">
        <v>2</v>
      </c>
      <c r="D74" s="6">
        <v>105.8</v>
      </c>
      <c r="E74" s="20" t="s">
        <v>98</v>
      </c>
      <c r="F74" s="6">
        <v>94.2</v>
      </c>
      <c r="G74" s="6">
        <v>99.3</v>
      </c>
      <c r="H74" s="6">
        <v>90.5</v>
      </c>
      <c r="I74" s="6">
        <v>104.6</v>
      </c>
      <c r="J74" s="6">
        <v>104.4</v>
      </c>
      <c r="K74" s="6">
        <v>98.6</v>
      </c>
      <c r="L74" s="6">
        <v>97</v>
      </c>
      <c r="M74" s="6">
        <v>117</v>
      </c>
      <c r="N74" s="6">
        <v>99.1</v>
      </c>
      <c r="O74" s="6">
        <v>98.2</v>
      </c>
      <c r="P74" s="40">
        <v>73.513513513513516</v>
      </c>
      <c r="Q74" s="6">
        <f>ROUND(Q73/181*100,1)</f>
        <v>102.8</v>
      </c>
      <c r="R74" s="6">
        <v>98.2</v>
      </c>
      <c r="S74" s="6">
        <v>105</v>
      </c>
      <c r="T74" s="6">
        <v>101.8</v>
      </c>
      <c r="U74" s="6">
        <v>100.6</v>
      </c>
      <c r="V74" s="6">
        <v>99.1</v>
      </c>
      <c r="W74" s="6">
        <v>91.1</v>
      </c>
      <c r="X74" s="6">
        <v>103.7</v>
      </c>
      <c r="Y74" s="6">
        <v>105.6</v>
      </c>
      <c r="Z74" s="6">
        <v>111.5</v>
      </c>
      <c r="AA74" s="6">
        <v>98.3</v>
      </c>
    </row>
    <row r="75" spans="1:31" s="1" customFormat="1" ht="30.75" customHeight="1">
      <c r="A75" s="12">
        <v>24</v>
      </c>
      <c r="B75" s="2" t="s">
        <v>89</v>
      </c>
      <c r="C75" s="12" t="s">
        <v>9</v>
      </c>
      <c r="D75" s="8">
        <v>182604</v>
      </c>
      <c r="E75" s="8">
        <v>210513</v>
      </c>
      <c r="F75" s="8">
        <v>34712</v>
      </c>
      <c r="G75" s="8">
        <v>126344</v>
      </c>
      <c r="H75" s="8">
        <v>28815</v>
      </c>
      <c r="I75" s="8">
        <v>207193</v>
      </c>
      <c r="J75" s="8">
        <v>184872</v>
      </c>
      <c r="K75" s="8">
        <v>232403</v>
      </c>
      <c r="L75" s="8">
        <v>270794</v>
      </c>
      <c r="M75" s="8">
        <v>20093</v>
      </c>
      <c r="N75" s="8">
        <v>158704</v>
      </c>
      <c r="O75" s="8">
        <v>40031</v>
      </c>
      <c r="P75" s="41">
        <v>14533</v>
      </c>
      <c r="Q75" s="8">
        <v>21237</v>
      </c>
      <c r="R75" s="8">
        <v>163194</v>
      </c>
      <c r="S75" s="8">
        <v>121795</v>
      </c>
      <c r="T75" s="41">
        <v>101984</v>
      </c>
      <c r="U75" s="8">
        <v>104380</v>
      </c>
      <c r="V75" s="8">
        <v>196262</v>
      </c>
      <c r="W75" s="8">
        <v>22406</v>
      </c>
      <c r="X75" s="8">
        <v>155500</v>
      </c>
      <c r="Y75" s="8">
        <v>241326</v>
      </c>
      <c r="Z75" s="8">
        <v>36748</v>
      </c>
      <c r="AA75" s="8">
        <v>345732</v>
      </c>
    </row>
    <row r="76" spans="1:31" ht="20.25" customHeight="1">
      <c r="A76" s="4" t="s">
        <v>88</v>
      </c>
      <c r="B76" s="3" t="s">
        <v>20</v>
      </c>
      <c r="C76" s="4" t="s">
        <v>2</v>
      </c>
      <c r="D76" s="6">
        <v>98.4</v>
      </c>
      <c r="E76" s="6">
        <v>99</v>
      </c>
      <c r="F76" s="6">
        <f>F75/35551*100</f>
        <v>97.640010126297426</v>
      </c>
      <c r="G76" s="6">
        <v>98.7</v>
      </c>
      <c r="H76" s="6">
        <v>96.3</v>
      </c>
      <c r="I76" s="6">
        <v>99</v>
      </c>
      <c r="J76" s="6">
        <v>98</v>
      </c>
      <c r="K76" s="6">
        <v>98.6</v>
      </c>
      <c r="L76" s="6">
        <v>100.5</v>
      </c>
      <c r="M76" s="6">
        <v>97.9</v>
      </c>
      <c r="N76" s="6">
        <v>98.9</v>
      </c>
      <c r="O76" s="6">
        <v>98.6</v>
      </c>
      <c r="P76" s="40">
        <v>98.830329819789185</v>
      </c>
      <c r="Q76" s="6">
        <f>ROUND(Q75/21563*100,1)</f>
        <v>98.5</v>
      </c>
      <c r="R76" s="6">
        <v>98.9</v>
      </c>
      <c r="S76" s="6">
        <v>99.5</v>
      </c>
      <c r="T76" s="42">
        <v>97.578338037602251</v>
      </c>
      <c r="U76" s="6">
        <v>97.7</v>
      </c>
      <c r="V76" s="6">
        <v>98.9</v>
      </c>
      <c r="W76" s="6">
        <v>96.4</v>
      </c>
      <c r="X76" s="6">
        <v>99</v>
      </c>
      <c r="Y76" s="6">
        <v>99.3</v>
      </c>
      <c r="Z76" s="6">
        <v>99.1</v>
      </c>
      <c r="AA76" s="6">
        <v>99.1</v>
      </c>
    </row>
    <row r="78" spans="1:31" ht="30.75" customHeight="1">
      <c r="A78" s="51" t="s">
        <v>91</v>
      </c>
      <c r="B78" s="51"/>
      <c r="C78" s="51"/>
      <c r="D78" s="51"/>
      <c r="Q78" s="51"/>
      <c r="R78" s="51"/>
      <c r="S78" s="51"/>
      <c r="T78" s="51"/>
      <c r="AB78" s="15"/>
      <c r="AC78" s="15"/>
      <c r="AD78" s="15"/>
      <c r="AE78" s="15"/>
    </row>
    <row r="79" spans="1:31" ht="51" customHeight="1">
      <c r="A79" s="51" t="s">
        <v>141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</row>
    <row r="82" spans="2:34" s="15" customFormat="1" ht="15" customHeight="1">
      <c r="B82" s="5"/>
      <c r="AB82" s="5"/>
      <c r="AC82" s="5"/>
      <c r="AD82" s="5"/>
      <c r="AE82" s="5"/>
      <c r="AF82" s="5"/>
      <c r="AG82" s="5"/>
      <c r="AH82" s="5"/>
    </row>
    <row r="85" spans="2:34" s="15" customFormat="1" ht="15" customHeight="1">
      <c r="B85" s="5"/>
      <c r="AB85" s="5"/>
      <c r="AC85" s="5"/>
      <c r="AD85" s="5"/>
      <c r="AE85" s="5"/>
      <c r="AF85" s="5"/>
      <c r="AG85" s="5"/>
      <c r="AH85" s="5"/>
    </row>
    <row r="86" spans="2:34" s="15" customFormat="1" ht="60" customHeight="1">
      <c r="B86" s="5"/>
      <c r="AB86" s="5"/>
      <c r="AC86" s="5"/>
      <c r="AD86" s="5"/>
      <c r="AE86" s="5"/>
      <c r="AF86" s="5"/>
      <c r="AG86" s="5"/>
      <c r="AH86" s="5"/>
    </row>
    <row r="93" spans="2:34" s="15" customFormat="1" ht="15" customHeight="1">
      <c r="B93" s="5"/>
      <c r="AB93" s="5"/>
      <c r="AC93" s="5"/>
      <c r="AD93" s="5"/>
      <c r="AE93" s="5"/>
      <c r="AF93" s="5"/>
      <c r="AG93" s="5"/>
      <c r="AH93" s="5"/>
    </row>
    <row r="95" spans="2:34" s="15" customFormat="1" ht="15" customHeight="1">
      <c r="B95" s="5"/>
      <c r="AB95" s="5"/>
      <c r="AC95" s="5"/>
      <c r="AD95" s="5"/>
      <c r="AE95" s="5"/>
      <c r="AF95" s="5"/>
      <c r="AG95" s="5"/>
      <c r="AH95" s="5"/>
    </row>
    <row r="96" spans="2:34" s="15" customFormat="1" ht="60" customHeight="1">
      <c r="B96" s="5"/>
      <c r="AB96" s="5"/>
      <c r="AC96" s="5"/>
      <c r="AD96" s="5"/>
      <c r="AE96" s="5"/>
      <c r="AF96" s="5"/>
      <c r="AG96" s="5"/>
      <c r="AH96" s="5"/>
    </row>
  </sheetData>
  <mergeCells count="9">
    <mergeCell ref="A79:O79"/>
    <mergeCell ref="Q78:T78"/>
    <mergeCell ref="Q79:AE79"/>
    <mergeCell ref="A78:D78"/>
    <mergeCell ref="C3:C4"/>
    <mergeCell ref="B3:B4"/>
    <mergeCell ref="A3:A4"/>
    <mergeCell ref="A45:A46"/>
    <mergeCell ref="B45:B46"/>
  </mergeCells>
  <pageMargins left="0" right="0" top="0.78740157480314965" bottom="0.39370078740157483" header="0" footer="0.19685039370078741"/>
  <pageSetup paperSize="9" scale="50" fitToHeight="2" orientation="landscape" horizontalDpi="180" verticalDpi="180" r:id="rId1"/>
  <headerFooter>
    <oddHeader>&amp;RОсновные показатели социально-экономического развития  в 2017 году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обработка_10.2018</vt:lpstr>
      <vt:lpstr>'Свод обработка_10.2018'!Заголовки_для_печати</vt:lpstr>
      <vt:lpstr>'Свод обработка_10.2018'!Область_печати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2018-11-01T06:03:49Z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-626700457</vt:i4>
  </property>
</Properties>
</file>